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vets_la\Desktop\ДГЗ до 05.02. Планируемые закупки у субъектов 2025\2026\"/>
    </mc:Choice>
  </mc:AlternateContent>
  <bookViews>
    <workbookView xWindow="-120" yWindow="-60" windowWidth="29040" windowHeight="15780"/>
  </bookViews>
  <sheets>
    <sheet name="44-ФЗ" sheetId="2" r:id="rId1"/>
  </sheets>
  <definedNames>
    <definedName name="_xlnm._FilterDatabase" localSheetId="0" hidden="1">'44-ФЗ'!#REF!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43" i="2" l="1"/>
  <c r="I1339" i="2"/>
  <c r="I1343" i="2" s="1"/>
  <c r="F1339" i="2"/>
  <c r="I1335" i="2"/>
  <c r="H1335" i="2"/>
  <c r="H1339" i="2" s="1"/>
  <c r="G1335" i="2"/>
  <c r="F1335" i="2"/>
  <c r="I1330" i="2"/>
  <c r="H1330" i="2"/>
  <c r="G1330" i="2"/>
  <c r="F1330" i="2"/>
  <c r="I1326" i="2"/>
  <c r="H1326" i="2"/>
  <c r="G1326" i="2"/>
  <c r="F1326" i="2"/>
  <c r="I1319" i="2"/>
  <c r="H1319" i="2"/>
  <c r="G1319" i="2"/>
  <c r="F1319" i="2"/>
  <c r="I1311" i="2"/>
  <c r="H1311" i="2"/>
  <c r="G1311" i="2"/>
  <c r="F1311" i="2"/>
  <c r="I1309" i="2"/>
  <c r="H1309" i="2"/>
  <c r="G1309" i="2"/>
  <c r="F1309" i="2"/>
  <c r="I1305" i="2"/>
  <c r="H1305" i="2"/>
  <c r="G1305" i="2"/>
  <c r="F1305" i="2"/>
  <c r="I1295" i="2"/>
  <c r="H1295" i="2"/>
  <c r="G1295" i="2"/>
  <c r="F1295" i="2"/>
  <c r="I1293" i="2"/>
  <c r="H1293" i="2"/>
  <c r="G1293" i="2"/>
  <c r="F1293" i="2"/>
  <c r="I1285" i="2"/>
  <c r="H1285" i="2"/>
  <c r="G1285" i="2"/>
  <c r="F1285" i="2"/>
  <c r="I1282" i="2"/>
  <c r="H1282" i="2"/>
  <c r="G1282" i="2"/>
  <c r="F1282" i="2"/>
  <c r="I1279" i="2"/>
  <c r="H1279" i="2"/>
  <c r="G1279" i="2"/>
  <c r="F1279" i="2"/>
  <c r="I1268" i="2"/>
  <c r="H1268" i="2"/>
  <c r="G1268" i="2"/>
  <c r="F1268" i="2"/>
  <c r="I1256" i="2"/>
  <c r="H1256" i="2"/>
  <c r="G1256" i="2"/>
  <c r="F1256" i="2"/>
  <c r="I1253" i="2"/>
  <c r="H1253" i="2"/>
  <c r="G1253" i="2"/>
  <c r="F1253" i="2"/>
  <c r="I1246" i="2"/>
  <c r="H1246" i="2"/>
  <c r="G1246" i="2"/>
  <c r="F1246" i="2"/>
  <c r="I1243" i="2"/>
  <c r="H1243" i="2"/>
  <c r="G1243" i="2"/>
  <c r="F1243" i="2"/>
  <c r="I1234" i="2"/>
  <c r="H1234" i="2"/>
  <c r="G1234" i="2"/>
  <c r="F1234" i="2"/>
  <c r="I1225" i="2"/>
  <c r="F1225" i="2"/>
  <c r="K1223" i="2"/>
  <c r="I1223" i="2"/>
  <c r="H1223" i="2"/>
  <c r="G1223" i="2"/>
  <c r="F1223" i="2"/>
  <c r="I1215" i="2"/>
  <c r="F1215" i="2"/>
  <c r="I1209" i="2"/>
  <c r="H1209" i="2"/>
  <c r="G1209" i="2"/>
  <c r="F1209" i="2"/>
  <c r="I1202" i="2"/>
  <c r="F1202" i="2"/>
  <c r="I1200" i="2"/>
  <c r="H1200" i="2"/>
  <c r="G1200" i="2"/>
  <c r="F1200" i="2"/>
  <c r="I1194" i="2"/>
  <c r="F1194" i="2"/>
  <c r="I1189" i="2"/>
  <c r="H1189" i="2"/>
  <c r="G1189" i="2"/>
  <c r="F1189" i="2"/>
  <c r="I1178" i="2"/>
  <c r="F1178" i="2"/>
  <c r="I1176" i="2"/>
  <c r="H1176" i="2"/>
  <c r="F1176" i="2"/>
  <c r="I1173" i="2"/>
  <c r="H1173" i="2"/>
  <c r="G1173" i="2"/>
  <c r="F1173" i="2"/>
  <c r="I1165" i="2"/>
  <c r="F1165" i="2"/>
  <c r="I1163" i="2"/>
  <c r="F1163" i="2"/>
  <c r="I1161" i="2"/>
  <c r="H1161" i="2"/>
  <c r="G1161" i="2"/>
  <c r="F1161" i="2"/>
  <c r="I1152" i="2"/>
  <c r="F1152" i="2"/>
  <c r="I1150" i="2"/>
  <c r="H1150" i="2"/>
  <c r="F1150" i="2"/>
  <c r="I1148" i="2"/>
  <c r="H1148" i="2"/>
  <c r="G1148" i="2"/>
  <c r="F1148" i="2"/>
  <c r="I1141" i="2"/>
  <c r="F1141" i="2"/>
  <c r="I1139" i="2"/>
  <c r="H1139" i="2"/>
  <c r="F1139" i="2"/>
  <c r="I1128" i="2"/>
  <c r="H1128" i="2"/>
  <c r="G1128" i="2"/>
  <c r="F1128" i="2"/>
  <c r="I1122" i="2"/>
  <c r="F1122" i="2"/>
  <c r="H1120" i="2"/>
  <c r="F1120" i="2"/>
  <c r="I1117" i="2"/>
  <c r="H1117" i="2"/>
  <c r="G1117" i="2"/>
  <c r="F1117" i="2"/>
  <c r="I1109" i="2"/>
  <c r="F1109" i="2"/>
  <c r="I1107" i="2"/>
  <c r="H1107" i="2"/>
  <c r="G1107" i="2"/>
  <c r="F1107" i="2"/>
  <c r="I1100" i="2"/>
  <c r="F1100" i="2"/>
  <c r="H1097" i="2"/>
  <c r="F1097" i="2"/>
  <c r="I1095" i="2"/>
  <c r="H1095" i="2"/>
  <c r="G1095" i="2"/>
  <c r="F1095" i="2"/>
  <c r="I1081" i="2"/>
  <c r="F1081" i="2"/>
  <c r="I1079" i="2"/>
  <c r="F1079" i="2"/>
  <c r="I1076" i="2"/>
  <c r="H1076" i="2"/>
  <c r="G1076" i="2"/>
  <c r="F1076" i="2"/>
  <c r="I1068" i="2"/>
  <c r="F1068" i="2"/>
  <c r="I1066" i="2"/>
  <c r="H1066" i="2"/>
  <c r="F1066" i="2"/>
  <c r="I1063" i="2"/>
  <c r="H1063" i="2"/>
  <c r="G1063" i="2"/>
  <c r="F1063" i="2"/>
  <c r="I1055" i="2"/>
  <c r="H1055" i="2"/>
  <c r="G1055" i="2"/>
  <c r="F1055" i="2"/>
  <c r="J1053" i="2"/>
  <c r="I1053" i="2"/>
  <c r="H1053" i="2"/>
  <c r="G1053" i="2"/>
  <c r="F1053" i="2"/>
  <c r="I1050" i="2"/>
  <c r="H1050" i="2"/>
  <c r="G1050" i="2"/>
  <c r="F1050" i="2"/>
  <c r="I1048" i="2"/>
  <c r="H1048" i="2"/>
  <c r="G1048" i="2"/>
  <c r="F1048" i="2"/>
  <c r="I1046" i="2"/>
  <c r="H1046" i="2"/>
  <c r="G1046" i="2"/>
  <c r="F1046" i="2"/>
  <c r="H1036" i="2"/>
  <c r="G1036" i="2"/>
  <c r="I1035" i="2"/>
  <c r="I1036" i="2" s="1"/>
  <c r="F1035" i="2"/>
  <c r="F1036" i="2" s="1"/>
  <c r="I1034" i="2"/>
  <c r="H1034" i="2"/>
  <c r="G1034" i="2"/>
  <c r="F1034" i="2"/>
  <c r="I1032" i="2"/>
  <c r="H1032" i="2"/>
  <c r="G1032" i="2"/>
  <c r="F1032" i="2"/>
  <c r="I1025" i="2"/>
  <c r="H1025" i="2"/>
  <c r="G1025" i="2"/>
  <c r="F1025" i="2"/>
  <c r="I1023" i="2"/>
  <c r="H1023" i="2"/>
  <c r="G1023" i="2"/>
  <c r="F1023" i="2"/>
  <c r="I1018" i="2"/>
  <c r="H1018" i="2"/>
  <c r="G1018" i="2"/>
  <c r="F1018" i="2"/>
  <c r="I1007" i="2"/>
  <c r="H1007" i="2"/>
  <c r="G1007" i="2"/>
  <c r="F1007" i="2"/>
  <c r="I1005" i="2"/>
  <c r="H1005" i="2"/>
  <c r="G1005" i="2"/>
  <c r="F1005" i="2"/>
  <c r="I996" i="2"/>
  <c r="H996" i="2"/>
  <c r="G996" i="2"/>
  <c r="F996" i="2"/>
  <c r="I993" i="2"/>
  <c r="H993" i="2"/>
  <c r="G993" i="2"/>
  <c r="F993" i="2"/>
  <c r="I990" i="2"/>
  <c r="H990" i="2"/>
  <c r="G990" i="2"/>
  <c r="F990" i="2"/>
  <c r="I984" i="2"/>
  <c r="H984" i="2"/>
  <c r="G984" i="2"/>
  <c r="F984" i="2"/>
  <c r="I977" i="2"/>
  <c r="H977" i="2"/>
  <c r="G977" i="2"/>
  <c r="F977" i="2"/>
  <c r="I975" i="2"/>
  <c r="H975" i="2"/>
  <c r="G975" i="2"/>
  <c r="F975" i="2"/>
  <c r="I972" i="2"/>
  <c r="H972" i="2"/>
  <c r="G972" i="2"/>
  <c r="F972" i="2"/>
  <c r="I970" i="2"/>
  <c r="H970" i="2"/>
  <c r="G970" i="2"/>
  <c r="F970" i="2"/>
  <c r="I967" i="2"/>
  <c r="H967" i="2"/>
  <c r="G967" i="2"/>
  <c r="F967" i="2"/>
  <c r="I961" i="2"/>
  <c r="H961" i="2"/>
  <c r="G961" i="2"/>
  <c r="F960" i="2"/>
  <c r="F961" i="2" s="1"/>
  <c r="I959" i="2"/>
  <c r="G959" i="2"/>
  <c r="H958" i="2"/>
  <c r="H959" i="2" s="1"/>
  <c r="F958" i="2"/>
  <c r="F959" i="2" s="1"/>
  <c r="I957" i="2"/>
  <c r="H957" i="2"/>
  <c r="G957" i="2"/>
  <c r="F957" i="2"/>
  <c r="A955" i="2"/>
  <c r="A953" i="2"/>
  <c r="A951" i="2"/>
  <c r="I949" i="2"/>
  <c r="H949" i="2"/>
  <c r="G949" i="2"/>
  <c r="F949" i="2"/>
  <c r="I947" i="2"/>
  <c r="H947" i="2"/>
  <c r="G947" i="2"/>
  <c r="F947" i="2"/>
  <c r="I941" i="2"/>
  <c r="H941" i="2"/>
  <c r="G941" i="2"/>
  <c r="F941" i="2"/>
  <c r="I939" i="2"/>
  <c r="H939" i="2"/>
  <c r="G939" i="2"/>
  <c r="F938" i="2"/>
  <c r="F939" i="2" s="1"/>
  <c r="I937" i="2"/>
  <c r="G937" i="2"/>
  <c r="H936" i="2"/>
  <c r="F936" i="2"/>
  <c r="H935" i="2"/>
  <c r="F935" i="2"/>
  <c r="H934" i="2"/>
  <c r="F934" i="2"/>
  <c r="H933" i="2"/>
  <c r="F933" i="2"/>
  <c r="A933" i="2"/>
  <c r="A934" i="2" s="1"/>
  <c r="A935" i="2" s="1"/>
  <c r="A936" i="2" s="1"/>
  <c r="H932" i="2"/>
  <c r="F932" i="2"/>
  <c r="H931" i="2"/>
  <c r="F931" i="2"/>
  <c r="I930" i="2"/>
  <c r="H930" i="2"/>
  <c r="G930" i="2"/>
  <c r="F930" i="2"/>
  <c r="I928" i="2"/>
  <c r="H928" i="2"/>
  <c r="G928" i="2"/>
  <c r="F928" i="2"/>
  <c r="A927" i="2"/>
  <c r="I922" i="2"/>
  <c r="H922" i="2"/>
  <c r="G922" i="2"/>
  <c r="F922" i="2"/>
  <c r="I920" i="2"/>
  <c r="H920" i="2"/>
  <c r="G920" i="2"/>
  <c r="F920" i="2"/>
  <c r="I918" i="2"/>
  <c r="H918" i="2"/>
  <c r="G918" i="2"/>
  <c r="F918" i="2"/>
  <c r="H911" i="2"/>
  <c r="G911" i="2"/>
  <c r="I910" i="2"/>
  <c r="I911" i="2" s="1"/>
  <c r="F910" i="2"/>
  <c r="F911" i="2" s="1"/>
  <c r="I909" i="2"/>
  <c r="G909" i="2"/>
  <c r="H908" i="2"/>
  <c r="H909" i="2" s="1"/>
  <c r="F908" i="2"/>
  <c r="F909" i="2" s="1"/>
  <c r="I907" i="2"/>
  <c r="H906" i="2"/>
  <c r="G906" i="2"/>
  <c r="F906" i="2"/>
  <c r="H905" i="2"/>
  <c r="G905" i="2"/>
  <c r="F905" i="2"/>
  <c r="H904" i="2"/>
  <c r="F904" i="2"/>
  <c r="H903" i="2"/>
  <c r="F903" i="2"/>
  <c r="H902" i="2"/>
  <c r="F902" i="2"/>
  <c r="H901" i="2"/>
  <c r="F901" i="2"/>
  <c r="I900" i="2"/>
  <c r="G900" i="2"/>
  <c r="H899" i="2"/>
  <c r="F899" i="2"/>
  <c r="H898" i="2"/>
  <c r="F898" i="2"/>
  <c r="H897" i="2"/>
  <c r="F897" i="2"/>
  <c r="H896" i="2"/>
  <c r="F896" i="2"/>
  <c r="H895" i="2"/>
  <c r="F895" i="2"/>
  <c r="H894" i="2"/>
  <c r="F894" i="2"/>
  <c r="H893" i="2"/>
  <c r="F893" i="2"/>
  <c r="I892" i="2"/>
  <c r="H892" i="2"/>
  <c r="G892" i="2"/>
  <c r="F892" i="2"/>
  <c r="I888" i="2"/>
  <c r="H888" i="2"/>
  <c r="G888" i="2"/>
  <c r="F888" i="2"/>
  <c r="I884" i="2"/>
  <c r="H884" i="2"/>
  <c r="G884" i="2"/>
  <c r="F884" i="2"/>
  <c r="I874" i="2"/>
  <c r="H874" i="2"/>
  <c r="G874" i="2"/>
  <c r="F874" i="2"/>
  <c r="I870" i="2"/>
  <c r="H870" i="2"/>
  <c r="G870" i="2"/>
  <c r="F870" i="2"/>
  <c r="I867" i="2"/>
  <c r="H867" i="2"/>
  <c r="G867" i="2"/>
  <c r="F867" i="2"/>
  <c r="I865" i="2"/>
  <c r="H865" i="2"/>
  <c r="G865" i="2"/>
  <c r="F865" i="2"/>
  <c r="I863" i="2"/>
  <c r="H863" i="2"/>
  <c r="G863" i="2"/>
  <c r="F863" i="2"/>
  <c r="I860" i="2"/>
  <c r="H860" i="2"/>
  <c r="G860" i="2"/>
  <c r="F860" i="2"/>
  <c r="I858" i="2"/>
  <c r="H858" i="2"/>
  <c r="G858" i="2"/>
  <c r="F858" i="2"/>
  <c r="I856" i="2"/>
  <c r="G856" i="2"/>
  <c r="I854" i="2"/>
  <c r="H854" i="2"/>
  <c r="G854" i="2"/>
  <c r="F854" i="2"/>
  <c r="I852" i="2"/>
  <c r="H852" i="2"/>
  <c r="G852" i="2"/>
  <c r="F852" i="2"/>
  <c r="I848" i="2"/>
  <c r="H848" i="2"/>
  <c r="G848" i="2"/>
  <c r="F848" i="2"/>
  <c r="I844" i="2"/>
  <c r="H844" i="2"/>
  <c r="G844" i="2"/>
  <c r="F844" i="2"/>
  <c r="I842" i="2"/>
  <c r="H842" i="2"/>
  <c r="G842" i="2"/>
  <c r="F842" i="2"/>
  <c r="I840" i="2"/>
  <c r="H840" i="2"/>
  <c r="G840" i="2"/>
  <c r="F840" i="2"/>
  <c r="I838" i="2"/>
  <c r="H838" i="2"/>
  <c r="G838" i="2"/>
  <c r="F838" i="2"/>
  <c r="I836" i="2"/>
  <c r="H836" i="2"/>
  <c r="G836" i="2"/>
  <c r="F836" i="2"/>
  <c r="I833" i="2"/>
  <c r="H833" i="2"/>
  <c r="G833" i="2"/>
  <c r="F833" i="2"/>
  <c r="I831" i="2"/>
  <c r="H831" i="2"/>
  <c r="G831" i="2"/>
  <c r="F831" i="2"/>
  <c r="I829" i="2"/>
  <c r="H829" i="2"/>
  <c r="G829" i="2"/>
  <c r="F829" i="2"/>
  <c r="I827" i="2"/>
  <c r="H827" i="2"/>
  <c r="G827" i="2"/>
  <c r="F827" i="2"/>
  <c r="I824" i="2"/>
  <c r="H824" i="2"/>
  <c r="G824" i="2"/>
  <c r="F824" i="2"/>
  <c r="I822" i="2"/>
  <c r="H822" i="2"/>
  <c r="G822" i="2"/>
  <c r="F822" i="2"/>
  <c r="I820" i="2"/>
  <c r="H820" i="2"/>
  <c r="G820" i="2"/>
  <c r="F820" i="2"/>
  <c r="H818" i="2"/>
  <c r="G818" i="2"/>
  <c r="F818" i="2"/>
  <c r="I816" i="2"/>
  <c r="H816" i="2"/>
  <c r="F816" i="2"/>
  <c r="I814" i="2"/>
  <c r="H814" i="2"/>
  <c r="G814" i="2"/>
  <c r="F814" i="2"/>
  <c r="I812" i="2"/>
  <c r="H812" i="2"/>
  <c r="G812" i="2"/>
  <c r="F812" i="2"/>
  <c r="I810" i="2"/>
  <c r="H810" i="2"/>
  <c r="G810" i="2"/>
  <c r="F810" i="2"/>
  <c r="I808" i="2"/>
  <c r="H808" i="2"/>
  <c r="G808" i="2"/>
  <c r="F808" i="2"/>
  <c r="I806" i="2"/>
  <c r="H806" i="2"/>
  <c r="G806" i="2"/>
  <c r="F806" i="2"/>
  <c r="I804" i="2"/>
  <c r="H804" i="2"/>
  <c r="G804" i="2"/>
  <c r="F802" i="2"/>
  <c r="I801" i="2"/>
  <c r="G801" i="2"/>
  <c r="F801" i="2"/>
  <c r="I799" i="2"/>
  <c r="H799" i="2"/>
  <c r="G799" i="2"/>
  <c r="F799" i="2"/>
  <c r="I795" i="2"/>
  <c r="H795" i="2"/>
  <c r="G795" i="2"/>
  <c r="F795" i="2"/>
  <c r="I792" i="2"/>
  <c r="H792" i="2"/>
  <c r="G792" i="2"/>
  <c r="F792" i="2"/>
  <c r="I790" i="2"/>
  <c r="H790" i="2"/>
  <c r="G790" i="2"/>
  <c r="F790" i="2"/>
  <c r="H788" i="2"/>
  <c r="G788" i="2"/>
  <c r="F788" i="2"/>
  <c r="I784" i="2"/>
  <c r="H784" i="2"/>
  <c r="G784" i="2"/>
  <c r="F784" i="2"/>
  <c r="I781" i="2"/>
  <c r="H781" i="2"/>
  <c r="G781" i="2"/>
  <c r="F781" i="2"/>
  <c r="I776" i="2"/>
  <c r="H776" i="2"/>
  <c r="G776" i="2"/>
  <c r="F773" i="2"/>
  <c r="F776" i="2" s="1"/>
  <c r="I772" i="2"/>
  <c r="H772" i="2"/>
  <c r="G772" i="2"/>
  <c r="F772" i="2"/>
  <c r="I770" i="2"/>
  <c r="H770" i="2"/>
  <c r="G770" i="2"/>
  <c r="F770" i="2"/>
  <c r="I767" i="2"/>
  <c r="H767" i="2"/>
  <c r="G767" i="2"/>
  <c r="F767" i="2"/>
  <c r="I765" i="2"/>
  <c r="H765" i="2"/>
  <c r="G765" i="2"/>
  <c r="F765" i="2"/>
  <c r="I762" i="2"/>
  <c r="H762" i="2"/>
  <c r="G762" i="2"/>
  <c r="F762" i="2"/>
  <c r="I760" i="2"/>
  <c r="H760" i="2"/>
  <c r="G760" i="2"/>
  <c r="F760" i="2"/>
  <c r="I757" i="2"/>
  <c r="H757" i="2"/>
  <c r="G757" i="2"/>
  <c r="F757" i="2"/>
  <c r="I753" i="2"/>
  <c r="H753" i="2"/>
  <c r="G753" i="2"/>
  <c r="F753" i="2"/>
  <c r="I749" i="2"/>
  <c r="H749" i="2"/>
  <c r="G749" i="2"/>
  <c r="F749" i="2"/>
  <c r="I746" i="2"/>
  <c r="H746" i="2"/>
  <c r="G746" i="2"/>
  <c r="F746" i="2"/>
  <c r="I744" i="2"/>
  <c r="H744" i="2"/>
  <c r="F744" i="2"/>
  <c r="H743" i="2"/>
  <c r="I741" i="2"/>
  <c r="I742" i="2" s="1"/>
  <c r="F741" i="2"/>
  <c r="H739" i="2"/>
  <c r="H740" i="2" s="1"/>
  <c r="F739" i="2"/>
  <c r="F740" i="2" s="1"/>
  <c r="G738" i="2"/>
  <c r="F738" i="2"/>
  <c r="I737" i="2"/>
  <c r="I738" i="2" s="1"/>
  <c r="H737" i="2"/>
  <c r="H738" i="2" s="1"/>
  <c r="I735" i="2"/>
  <c r="I736" i="2" s="1"/>
  <c r="F735" i="2"/>
  <c r="F736" i="2" s="1"/>
  <c r="G734" i="2"/>
  <c r="H733" i="2"/>
  <c r="H734" i="2" s="1"/>
  <c r="F733" i="2"/>
  <c r="F734" i="2" s="1"/>
  <c r="G732" i="2"/>
  <c r="I731" i="2"/>
  <c r="H731" i="2"/>
  <c r="F731" i="2"/>
  <c r="I730" i="2"/>
  <c r="H730" i="2"/>
  <c r="F730" i="2"/>
  <c r="G907" i="2" l="1"/>
  <c r="H907" i="2"/>
  <c r="H732" i="2"/>
  <c r="F742" i="2"/>
  <c r="I732" i="2"/>
  <c r="H937" i="2"/>
  <c r="F900" i="2"/>
  <c r="H900" i="2"/>
  <c r="F937" i="2"/>
  <c r="F804" i="2"/>
  <c r="F907" i="2"/>
  <c r="F732" i="2"/>
  <c r="F1359" i="2" l="1"/>
  <c r="J1359" i="2"/>
  <c r="G1359" i="2"/>
  <c r="F1403" i="2" l="1"/>
  <c r="G1403" i="2"/>
  <c r="G1392" i="2"/>
  <c r="I1400" i="2"/>
  <c r="F1400" i="2"/>
  <c r="H1396" i="2"/>
  <c r="F1396" i="2"/>
  <c r="I1389" i="2"/>
  <c r="F1389" i="2"/>
  <c r="F1374" i="2"/>
  <c r="H1374" i="2"/>
  <c r="F1346" i="2"/>
  <c r="I1353" i="2"/>
  <c r="F1353" i="2"/>
  <c r="I1352" i="2"/>
  <c r="F1352" i="2"/>
  <c r="F1355" i="2" s="1"/>
  <c r="H1350" i="2"/>
  <c r="F1350" i="2"/>
  <c r="H1349" i="2"/>
  <c r="F1349" i="2"/>
  <c r="H1348" i="2"/>
  <c r="F1348" i="2"/>
  <c r="H1347" i="2"/>
  <c r="F1347" i="2"/>
  <c r="G1346" i="2"/>
  <c r="I1355" i="2" l="1"/>
  <c r="F1392" i="2"/>
  <c r="F1351" i="2"/>
  <c r="H1351" i="2"/>
  <c r="I580" i="2" l="1"/>
  <c r="H560" i="2"/>
  <c r="F279" i="2"/>
  <c r="F275" i="2"/>
  <c r="I82" i="2"/>
  <c r="H82" i="2"/>
  <c r="J729" i="2"/>
  <c r="I729" i="2"/>
  <c r="H729" i="2"/>
  <c r="G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J708" i="2"/>
  <c r="I708" i="2"/>
  <c r="H708" i="2"/>
  <c r="G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I681" i="2"/>
  <c r="H681" i="2"/>
  <c r="G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J656" i="2"/>
  <c r="I656" i="2"/>
  <c r="H656" i="2"/>
  <c r="G656" i="2"/>
  <c r="F655" i="2"/>
  <c r="F654" i="2"/>
  <c r="I653" i="2"/>
  <c r="H653" i="2"/>
  <c r="G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I635" i="2"/>
  <c r="H635" i="2"/>
  <c r="G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J622" i="2"/>
  <c r="I622" i="2"/>
  <c r="H622" i="2"/>
  <c r="G622" i="2"/>
  <c r="F621" i="2"/>
  <c r="F620" i="2"/>
  <c r="F619" i="2"/>
  <c r="F618" i="2"/>
  <c r="F617" i="2"/>
  <c r="F616" i="2"/>
  <c r="J615" i="2"/>
  <c r="I615" i="2"/>
  <c r="H615" i="2"/>
  <c r="G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J597" i="2"/>
  <c r="I597" i="2"/>
  <c r="H597" i="2"/>
  <c r="G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J580" i="2"/>
  <c r="H580" i="2"/>
  <c r="G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J560" i="2"/>
  <c r="I560" i="2"/>
  <c r="G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J542" i="2"/>
  <c r="I542" i="2"/>
  <c r="H542" i="2"/>
  <c r="G542" i="2"/>
  <c r="F541" i="2"/>
  <c r="F540" i="2"/>
  <c r="F539" i="2"/>
  <c r="F538" i="2"/>
  <c r="F537" i="2"/>
  <c r="F536" i="2"/>
  <c r="F535" i="2"/>
  <c r="J534" i="2"/>
  <c r="I534" i="2"/>
  <c r="H534" i="2"/>
  <c r="G534" i="2"/>
  <c r="F533" i="2"/>
  <c r="F534" i="2" s="1"/>
  <c r="J532" i="2"/>
  <c r="H532" i="2"/>
  <c r="G532" i="2"/>
  <c r="I531" i="2"/>
  <c r="F531" i="2"/>
  <c r="I530" i="2"/>
  <c r="F530" i="2" s="1"/>
  <c r="I529" i="2"/>
  <c r="F529" i="2" s="1"/>
  <c r="I528" i="2"/>
  <c r="F528" i="2" s="1"/>
  <c r="I527" i="2"/>
  <c r="F527" i="2" s="1"/>
  <c r="I526" i="2"/>
  <c r="F526" i="2" s="1"/>
  <c r="I525" i="2"/>
  <c r="F525" i="2" s="1"/>
  <c r="I524" i="2"/>
  <c r="F524" i="2" s="1"/>
  <c r="I523" i="2"/>
  <c r="F523" i="2" s="1"/>
  <c r="I522" i="2"/>
  <c r="F522" i="2" s="1"/>
  <c r="I521" i="2"/>
  <c r="F521" i="2" s="1"/>
  <c r="I520" i="2"/>
  <c r="F520" i="2" s="1"/>
  <c r="I519" i="2"/>
  <c r="F519" i="2" s="1"/>
  <c r="I518" i="2"/>
  <c r="F518" i="2" s="1"/>
  <c r="I517" i="2"/>
  <c r="F517" i="2" s="1"/>
  <c r="I516" i="2"/>
  <c r="F516" i="2" s="1"/>
  <c r="I515" i="2"/>
  <c r="F515" i="2" s="1"/>
  <c r="I514" i="2"/>
  <c r="F514" i="2" s="1"/>
  <c r="J513" i="2"/>
  <c r="G513" i="2"/>
  <c r="I512" i="2"/>
  <c r="F512" i="2" s="1"/>
  <c r="I511" i="2"/>
  <c r="H511" i="2"/>
  <c r="I510" i="2"/>
  <c r="F510" i="2" s="1"/>
  <c r="I509" i="2"/>
  <c r="F509" i="2" s="1"/>
  <c r="I508" i="2"/>
  <c r="F508" i="2" s="1"/>
  <c r="I507" i="2"/>
  <c r="F507" i="2" s="1"/>
  <c r="I506" i="2"/>
  <c r="F506" i="2" s="1"/>
  <c r="H505" i="2"/>
  <c r="F505" i="2" s="1"/>
  <c r="H504" i="2"/>
  <c r="F504" i="2" s="1"/>
  <c r="I503" i="2"/>
  <c r="F503" i="2" s="1"/>
  <c r="I502" i="2"/>
  <c r="F502" i="2" s="1"/>
  <c r="I501" i="2"/>
  <c r="F501" i="2" s="1"/>
  <c r="I500" i="2"/>
  <c r="F500" i="2" s="1"/>
  <c r="I499" i="2"/>
  <c r="F499" i="2" s="1"/>
  <c r="I498" i="2"/>
  <c r="F498" i="2" s="1"/>
  <c r="I497" i="2"/>
  <c r="F497" i="2" s="1"/>
  <c r="H496" i="2"/>
  <c r="F496" i="2" s="1"/>
  <c r="I495" i="2"/>
  <c r="F495" i="2" s="1"/>
  <c r="I494" i="2"/>
  <c r="F494" i="2" s="1"/>
  <c r="I493" i="2"/>
  <c r="F493" i="2" s="1"/>
  <c r="I492" i="2"/>
  <c r="H492" i="2"/>
  <c r="H491" i="2"/>
  <c r="F491" i="2" s="1"/>
  <c r="I490" i="2"/>
  <c r="F490" i="2" s="1"/>
  <c r="I489" i="2"/>
  <c r="F489" i="2" s="1"/>
  <c r="I488" i="2"/>
  <c r="F488" i="2" s="1"/>
  <c r="H487" i="2"/>
  <c r="F487" i="2" s="1"/>
  <c r="I486" i="2"/>
  <c r="F486" i="2" s="1"/>
  <c r="I485" i="2"/>
  <c r="F485" i="2" s="1"/>
  <c r="H484" i="2"/>
  <c r="F484" i="2" s="1"/>
  <c r="H483" i="2"/>
  <c r="F483" i="2" s="1"/>
  <c r="H482" i="2"/>
  <c r="F482" i="2" s="1"/>
  <c r="H481" i="2"/>
  <c r="F481" i="2" s="1"/>
  <c r="H480" i="2"/>
  <c r="F480" i="2" s="1"/>
  <c r="H479" i="2"/>
  <c r="F479" i="2" s="1"/>
  <c r="H478" i="2"/>
  <c r="F478" i="2" s="1"/>
  <c r="H477" i="2"/>
  <c r="F477" i="2" s="1"/>
  <c r="H476" i="2"/>
  <c r="F476" i="2" s="1"/>
  <c r="H475" i="2"/>
  <c r="F475" i="2" s="1"/>
  <c r="H474" i="2"/>
  <c r="F474" i="2" s="1"/>
  <c r="H473" i="2"/>
  <c r="F473" i="2" s="1"/>
  <c r="H472" i="2"/>
  <c r="F472" i="2" s="1"/>
  <c r="J471" i="2"/>
  <c r="I470" i="2"/>
  <c r="H470" i="2"/>
  <c r="I469" i="2"/>
  <c r="H469" i="2"/>
  <c r="I468" i="2"/>
  <c r="H468" i="2"/>
  <c r="H467" i="2"/>
  <c r="F467" i="2" s="1"/>
  <c r="I466" i="2"/>
  <c r="H466" i="2"/>
  <c r="I465" i="2"/>
  <c r="H465" i="2"/>
  <c r="I464" i="2"/>
  <c r="H464" i="2"/>
  <c r="I463" i="2"/>
  <c r="H463" i="2"/>
  <c r="I462" i="2"/>
  <c r="H462" i="2"/>
  <c r="H461" i="2"/>
  <c r="G461" i="2"/>
  <c r="H460" i="2"/>
  <c r="F460" i="2" s="1"/>
  <c r="G459" i="2"/>
  <c r="F459" i="2" s="1"/>
  <c r="G458" i="2"/>
  <c r="F458" i="2" s="1"/>
  <c r="I457" i="2"/>
  <c r="H457" i="2"/>
  <c r="H456" i="2"/>
  <c r="F456" i="2" s="1"/>
  <c r="G455" i="2"/>
  <c r="F455" i="2" s="1"/>
  <c r="I454" i="2"/>
  <c r="H454" i="2"/>
  <c r="I453" i="2"/>
  <c r="H453" i="2"/>
  <c r="G452" i="2"/>
  <c r="F452" i="2" s="1"/>
  <c r="G451" i="2"/>
  <c r="F451" i="2" s="1"/>
  <c r="G450" i="2"/>
  <c r="F450" i="2" s="1"/>
  <c r="G449" i="2"/>
  <c r="F449" i="2" s="1"/>
  <c r="G448" i="2"/>
  <c r="F448" i="2" s="1"/>
  <c r="J447" i="2"/>
  <c r="H447" i="2"/>
  <c r="G447" i="2"/>
  <c r="I446" i="2"/>
  <c r="F446" i="2" s="1"/>
  <c r="I445" i="2"/>
  <c r="F445" i="2" s="1"/>
  <c r="I444" i="2"/>
  <c r="F444" i="2" s="1"/>
  <c r="I443" i="2"/>
  <c r="F443" i="2" s="1"/>
  <c r="I442" i="2"/>
  <c r="F442" i="2" s="1"/>
  <c r="I441" i="2"/>
  <c r="F441" i="2" s="1"/>
  <c r="I440" i="2"/>
  <c r="F440" i="2" s="1"/>
  <c r="I439" i="2"/>
  <c r="F439" i="2" s="1"/>
  <c r="I438" i="2"/>
  <c r="F438" i="2" s="1"/>
  <c r="I437" i="2"/>
  <c r="F437" i="2" s="1"/>
  <c r="I436" i="2"/>
  <c r="F436" i="2" s="1"/>
  <c r="I435" i="2"/>
  <c r="F435" i="2" s="1"/>
  <c r="I434" i="2"/>
  <c r="F434" i="2" s="1"/>
  <c r="I433" i="2"/>
  <c r="J432" i="2"/>
  <c r="I432" i="2"/>
  <c r="G432" i="2"/>
  <c r="H431" i="2"/>
  <c r="F431" i="2" s="1"/>
  <c r="H430" i="2"/>
  <c r="F430" i="2" s="1"/>
  <c r="H429" i="2"/>
  <c r="F429" i="2" s="1"/>
  <c r="H428" i="2"/>
  <c r="F428" i="2" s="1"/>
  <c r="F427" i="2"/>
  <c r="J426" i="2"/>
  <c r="I426" i="2"/>
  <c r="G426" i="2"/>
  <c r="H425" i="2"/>
  <c r="H426" i="2" s="1"/>
  <c r="F424" i="2"/>
  <c r="I423" i="2"/>
  <c r="F422" i="2"/>
  <c r="F421" i="2"/>
  <c r="F420" i="2"/>
  <c r="I419" i="2"/>
  <c r="H419" i="2"/>
  <c r="F418" i="2"/>
  <c r="F417" i="2"/>
  <c r="F416" i="2"/>
  <c r="F415" i="2"/>
  <c r="F414" i="2"/>
  <c r="F413" i="2"/>
  <c r="F412" i="2"/>
  <c r="F411" i="2"/>
  <c r="F410" i="2"/>
  <c r="I409" i="2"/>
  <c r="H409" i="2"/>
  <c r="F408" i="2"/>
  <c r="J407" i="2"/>
  <c r="I407" i="2"/>
  <c r="H407" i="2"/>
  <c r="G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J380" i="2"/>
  <c r="I380" i="2"/>
  <c r="H380" i="2"/>
  <c r="G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J328" i="2"/>
  <c r="I328" i="2"/>
  <c r="H328" i="2"/>
  <c r="G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J312" i="2"/>
  <c r="I312" i="2"/>
  <c r="H312" i="2"/>
  <c r="G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J295" i="2"/>
  <c r="I295" i="2"/>
  <c r="H295" i="2"/>
  <c r="G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J279" i="2"/>
  <c r="I279" i="2"/>
  <c r="H279" i="2"/>
  <c r="G279" i="2"/>
  <c r="J275" i="2"/>
  <c r="I275" i="2"/>
  <c r="H275" i="2"/>
  <c r="G275" i="2"/>
  <c r="J266" i="2"/>
  <c r="I266" i="2"/>
  <c r="H266" i="2"/>
  <c r="G266" i="2"/>
  <c r="F266" i="2"/>
  <c r="J264" i="2"/>
  <c r="I264" i="2"/>
  <c r="H264" i="2"/>
  <c r="G264" i="2"/>
  <c r="F263" i="2"/>
  <c r="F262" i="2"/>
  <c r="F261" i="2"/>
  <c r="F260" i="2"/>
  <c r="F259" i="2"/>
  <c r="F258" i="2"/>
  <c r="F257" i="2"/>
  <c r="F256" i="2"/>
  <c r="F255" i="2"/>
  <c r="F254" i="2"/>
  <c r="F253" i="2"/>
  <c r="J252" i="2"/>
  <c r="I252" i="2"/>
  <c r="H252" i="2"/>
  <c r="G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J231" i="2"/>
  <c r="I231" i="2"/>
  <c r="H231" i="2"/>
  <c r="G231" i="2"/>
  <c r="F230" i="2"/>
  <c r="F229" i="2"/>
  <c r="F228" i="2"/>
  <c r="F227" i="2"/>
  <c r="J226" i="2"/>
  <c r="I226" i="2"/>
  <c r="H226" i="2"/>
  <c r="G226" i="2"/>
  <c r="F225" i="2"/>
  <c r="F224" i="2"/>
  <c r="F223" i="2"/>
  <c r="F222" i="2"/>
  <c r="F221" i="2"/>
  <c r="F220" i="2"/>
  <c r="F219" i="2"/>
  <c r="F218" i="2"/>
  <c r="J217" i="2"/>
  <c r="I217" i="2"/>
  <c r="H217" i="2"/>
  <c r="G217" i="2"/>
  <c r="F216" i="2"/>
  <c r="F215" i="2"/>
  <c r="F214" i="2"/>
  <c r="F213" i="2"/>
  <c r="F212" i="2"/>
  <c r="F211" i="2"/>
  <c r="F210" i="2"/>
  <c r="J209" i="2"/>
  <c r="I209" i="2"/>
  <c r="H209" i="2"/>
  <c r="G209" i="2"/>
  <c r="F208" i="2"/>
  <c r="F207" i="2"/>
  <c r="F206" i="2"/>
  <c r="F205" i="2"/>
  <c r="F204" i="2"/>
  <c r="F203" i="2"/>
  <c r="F202" i="2"/>
  <c r="F201" i="2"/>
  <c r="F200" i="2"/>
  <c r="J199" i="2"/>
  <c r="I199" i="2"/>
  <c r="H199" i="2"/>
  <c r="G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J179" i="2"/>
  <c r="I179" i="2"/>
  <c r="H179" i="2"/>
  <c r="G179" i="2"/>
  <c r="F178" i="2"/>
  <c r="F177" i="2"/>
  <c r="J176" i="2"/>
  <c r="I176" i="2"/>
  <c r="H176" i="2"/>
  <c r="G176" i="2"/>
  <c r="F175" i="2"/>
  <c r="F174" i="2"/>
  <c r="F173" i="2"/>
  <c r="F172" i="2"/>
  <c r="F171" i="2"/>
  <c r="F170" i="2"/>
  <c r="F169" i="2"/>
  <c r="J168" i="2"/>
  <c r="I168" i="2"/>
  <c r="H168" i="2"/>
  <c r="G168" i="2"/>
  <c r="F167" i="2"/>
  <c r="F166" i="2"/>
  <c r="J165" i="2"/>
  <c r="I165" i="2"/>
  <c r="H165" i="2"/>
  <c r="G165" i="2"/>
  <c r="F164" i="2"/>
  <c r="F163" i="2"/>
  <c r="F162" i="2"/>
  <c r="F161" i="2"/>
  <c r="J160" i="2"/>
  <c r="I160" i="2"/>
  <c r="H160" i="2"/>
  <c r="G160" i="2"/>
  <c r="F159" i="2"/>
  <c r="F158" i="2"/>
  <c r="F157" i="2"/>
  <c r="F156" i="2"/>
  <c r="F155" i="2"/>
  <c r="J154" i="2"/>
  <c r="I154" i="2"/>
  <c r="H154" i="2"/>
  <c r="G154" i="2"/>
  <c r="F153" i="2"/>
  <c r="F152" i="2"/>
  <c r="F151" i="2"/>
  <c r="F150" i="2"/>
  <c r="F149" i="2"/>
  <c r="F148" i="2"/>
  <c r="J147" i="2"/>
  <c r="I147" i="2"/>
  <c r="H147" i="2"/>
  <c r="G147" i="2"/>
  <c r="F146" i="2"/>
  <c r="F145" i="2"/>
  <c r="F144" i="2"/>
  <c r="J143" i="2"/>
  <c r="I143" i="2"/>
  <c r="H143" i="2"/>
  <c r="G143" i="2"/>
  <c r="F142" i="2"/>
  <c r="F141" i="2"/>
  <c r="J140" i="2"/>
  <c r="I140" i="2"/>
  <c r="H140" i="2"/>
  <c r="G140" i="2"/>
  <c r="F139" i="2"/>
  <c r="F138" i="2"/>
  <c r="F137" i="2"/>
  <c r="F136" i="2"/>
  <c r="J135" i="2"/>
  <c r="I135" i="2"/>
  <c r="H135" i="2"/>
  <c r="G135" i="2"/>
  <c r="F134" i="2"/>
  <c r="F133" i="2"/>
  <c r="F132" i="2"/>
  <c r="F131" i="2"/>
  <c r="F130" i="2"/>
  <c r="J129" i="2"/>
  <c r="I129" i="2"/>
  <c r="H129" i="2"/>
  <c r="G129" i="2"/>
  <c r="F128" i="2"/>
  <c r="J127" i="2"/>
  <c r="I127" i="2"/>
  <c r="H127" i="2"/>
  <c r="G127" i="2"/>
  <c r="F126" i="2"/>
  <c r="F125" i="2"/>
  <c r="F124" i="2"/>
  <c r="F123" i="2"/>
  <c r="A123" i="2"/>
  <c r="A124" i="2" s="1"/>
  <c r="A125" i="2" s="1"/>
  <c r="A126" i="2" s="1"/>
  <c r="F122" i="2"/>
  <c r="J121" i="2"/>
  <c r="I121" i="2"/>
  <c r="H121" i="2"/>
  <c r="G121" i="2"/>
  <c r="F120" i="2"/>
  <c r="F119" i="2"/>
  <c r="F118" i="2"/>
  <c r="J117" i="2"/>
  <c r="I117" i="2"/>
  <c r="H117" i="2"/>
  <c r="G117" i="2"/>
  <c r="F116" i="2"/>
  <c r="F115" i="2"/>
  <c r="J114" i="2"/>
  <c r="I114" i="2"/>
  <c r="H114" i="2"/>
  <c r="G114" i="2"/>
  <c r="F113" i="2"/>
  <c r="J112" i="2"/>
  <c r="I112" i="2"/>
  <c r="H112" i="2"/>
  <c r="G112" i="2"/>
  <c r="F111" i="2"/>
  <c r="F110" i="2"/>
  <c r="J109" i="2"/>
  <c r="I109" i="2"/>
  <c r="H109" i="2"/>
  <c r="G109" i="2"/>
  <c r="F108" i="2"/>
  <c r="J107" i="2"/>
  <c r="I107" i="2"/>
  <c r="H107" i="2"/>
  <c r="G107" i="2"/>
  <c r="F106" i="2"/>
  <c r="J105" i="2"/>
  <c r="I105" i="2"/>
  <c r="H105" i="2"/>
  <c r="G105" i="2"/>
  <c r="F104" i="2"/>
  <c r="J103" i="2"/>
  <c r="I103" i="2"/>
  <c r="H103" i="2"/>
  <c r="G103" i="2"/>
  <c r="F102" i="2"/>
  <c r="F101" i="2"/>
  <c r="F100" i="2"/>
  <c r="J99" i="2"/>
  <c r="I99" i="2"/>
  <c r="H99" i="2"/>
  <c r="G99" i="2"/>
  <c r="F98" i="2"/>
  <c r="F97" i="2"/>
  <c r="J96" i="2"/>
  <c r="I96" i="2"/>
  <c r="H96" i="2"/>
  <c r="G96" i="2"/>
  <c r="F95" i="2"/>
  <c r="F94" i="2"/>
  <c r="F93" i="2"/>
  <c r="F92" i="2"/>
  <c r="F91" i="2"/>
  <c r="J90" i="2"/>
  <c r="I90" i="2"/>
  <c r="H90" i="2"/>
  <c r="G90" i="2"/>
  <c r="F89" i="2"/>
  <c r="F88" i="2"/>
  <c r="F87" i="2"/>
  <c r="J86" i="2"/>
  <c r="I86" i="2"/>
  <c r="H86" i="2"/>
  <c r="G86" i="2"/>
  <c r="F85" i="2"/>
  <c r="F84" i="2"/>
  <c r="F83" i="2"/>
  <c r="J82" i="2"/>
  <c r="G82" i="2"/>
  <c r="F81" i="2"/>
  <c r="F80" i="2"/>
  <c r="J79" i="2"/>
  <c r="I79" i="2"/>
  <c r="H79" i="2"/>
  <c r="G79" i="2"/>
  <c r="F78" i="2"/>
  <c r="F77" i="2"/>
  <c r="F76" i="2"/>
  <c r="F75" i="2"/>
  <c r="J74" i="2"/>
  <c r="I74" i="2"/>
  <c r="H74" i="2"/>
  <c r="G74" i="2"/>
  <c r="F73" i="2"/>
  <c r="F72" i="2"/>
  <c r="F71" i="2"/>
  <c r="F70" i="2"/>
  <c r="J69" i="2"/>
  <c r="I69" i="2"/>
  <c r="H69" i="2"/>
  <c r="G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J49" i="2"/>
  <c r="I49" i="2"/>
  <c r="H49" i="2"/>
  <c r="G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J24" i="2"/>
  <c r="I24" i="2"/>
  <c r="H24" i="2"/>
  <c r="G24" i="2"/>
  <c r="F23" i="2"/>
  <c r="F22" i="2"/>
  <c r="F21" i="2"/>
  <c r="F20" i="2"/>
  <c r="F19" i="2"/>
  <c r="F18" i="2"/>
  <c r="F17" i="2"/>
  <c r="F16" i="2"/>
  <c r="F15" i="2"/>
  <c r="F14" i="2"/>
  <c r="F13" i="2"/>
  <c r="F12" i="2"/>
  <c r="F492" i="2" l="1"/>
  <c r="F469" i="2"/>
  <c r="F90" i="2"/>
  <c r="F109" i="2"/>
  <c r="F99" i="2"/>
  <c r="F681" i="2"/>
  <c r="F231" i="2"/>
  <c r="F423" i="2"/>
  <c r="F462" i="2"/>
  <c r="F511" i="2"/>
  <c r="F513" i="2" s="1"/>
  <c r="F461" i="2"/>
  <c r="F465" i="2"/>
  <c r="F470" i="2"/>
  <c r="F96" i="2"/>
  <c r="F143" i="2"/>
  <c r="F168" i="2"/>
  <c r="F86" i="2"/>
  <c r="F74" i="2"/>
  <c r="F79" i="2"/>
  <c r="F82" i="2"/>
  <c r="F121" i="2"/>
  <c r="F179" i="2"/>
  <c r="F464" i="2"/>
  <c r="F729" i="2"/>
  <c r="F466" i="2"/>
  <c r="F597" i="2"/>
  <c r="F114" i="2"/>
  <c r="F135" i="2"/>
  <c r="F160" i="2"/>
  <c r="F199" i="2"/>
  <c r="F407" i="2"/>
  <c r="F140" i="2"/>
  <c r="F165" i="2"/>
  <c r="F425" i="2"/>
  <c r="F426" i="2" s="1"/>
  <c r="F468" i="2"/>
  <c r="F112" i="2"/>
  <c r="F252" i="2"/>
  <c r="F264" i="2"/>
  <c r="F542" i="2"/>
  <c r="F117" i="2"/>
  <c r="F129" i="2"/>
  <c r="F217" i="2"/>
  <c r="H471" i="2"/>
  <c r="F615" i="2"/>
  <c r="I471" i="2"/>
  <c r="F24" i="2"/>
  <c r="F49" i="2"/>
  <c r="F154" i="2"/>
  <c r="F328" i="2"/>
  <c r="F454" i="2"/>
  <c r="F560" i="2"/>
  <c r="F147" i="2"/>
  <c r="F176" i="2"/>
  <c r="F209" i="2"/>
  <c r="F226" i="2"/>
  <c r="F295" i="2"/>
  <c r="F409" i="2"/>
  <c r="I447" i="2"/>
  <c r="F463" i="2"/>
  <c r="F708" i="2"/>
  <c r="F127" i="2"/>
  <c r="F380" i="2"/>
  <c r="F419" i="2"/>
  <c r="F622" i="2"/>
  <c r="F69" i="2"/>
  <c r="F103" i="2"/>
  <c r="F312" i="2"/>
  <c r="F580" i="2"/>
  <c r="F457" i="2"/>
  <c r="F107" i="2"/>
  <c r="F656" i="2"/>
  <c r="I513" i="2"/>
  <c r="F105" i="2"/>
  <c r="H513" i="2"/>
  <c r="F653" i="2"/>
  <c r="H432" i="2"/>
  <c r="F432" i="2" s="1"/>
  <c r="F433" i="2"/>
  <c r="F447" i="2" s="1"/>
  <c r="G471" i="2"/>
  <c r="F453" i="2"/>
  <c r="F635" i="2"/>
  <c r="F532" i="2"/>
  <c r="I532" i="2"/>
  <c r="F471" i="2" l="1"/>
  <c r="H8" i="2"/>
  <c r="I11" i="2" l="1"/>
  <c r="F7" i="2"/>
  <c r="F9" i="2"/>
  <c r="F10" i="2" l="1"/>
  <c r="F11" i="2" s="1"/>
  <c r="I8" i="2"/>
  <c r="F8" i="2" s="1"/>
</calcChain>
</file>

<file path=xl/comments1.xml><?xml version="1.0" encoding="utf-8"?>
<comments xmlns="http://schemas.openxmlformats.org/spreadsheetml/2006/main">
  <authors>
    <author>Яковлева Ксения Владимировна</author>
  </authors>
  <commentList>
    <comment ref="F633" authorId="0" shapeId="0">
      <text>
        <r>
          <rPr>
            <b/>
            <sz val="9"/>
            <color indexed="81"/>
            <rFont val="Tahoma"/>
            <family val="2"/>
            <charset val="204"/>
          </rPr>
          <t>Жукова Ксения Владимировна:
70% СМП от НМЦК 46 797,12 тыс.руб.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<sst xmlns="http://schemas.openxmlformats.org/spreadsheetml/2006/main" count="5362" uniqueCount="2049">
  <si>
    <t>№ п/п</t>
  </si>
  <si>
    <t>Объект закупки</t>
  </si>
  <si>
    <t>Предмет контракта</t>
  </si>
  <si>
    <t>Способ определения поставщика (подрядчика, исполнителя)</t>
  </si>
  <si>
    <t>Начальная (максимальная) цена контракта (тыс.руб)</t>
  </si>
  <si>
    <t>На текущий финансовый год</t>
  </si>
  <si>
    <t>На плановый период</t>
  </si>
  <si>
    <t>На первый год</t>
  </si>
  <si>
    <t>На второй год</t>
  </si>
  <si>
    <t>Последующие годы</t>
  </si>
  <si>
    <t>Планируемый срок начала осуществления закупки (месяц, год)</t>
  </si>
  <si>
    <t xml:space="preserve">Планируемые закупки товаров, работ, услуг у субъектов малого предпринимательства, социально ориентированных некоммерческих организаций  </t>
  </si>
  <si>
    <t>3</t>
  </si>
  <si>
    <t>4</t>
  </si>
  <si>
    <t>11</t>
  </si>
  <si>
    <t>Итого предусмотрено на осуществление закупок в текущем году</t>
  </si>
  <si>
    <t xml:space="preserve">Наименование ГРБС,
 подведомственного учреждения/Наименование публично-правового образования, подведомственного учреждения </t>
  </si>
  <si>
    <t>ИКЗ плана-графика</t>
  </si>
  <si>
    <t>5</t>
  </si>
  <si>
    <t>Планируемые платежи (тыс. рублей)</t>
  </si>
  <si>
    <t>Итого предусмотрено на осуществление закупок на первый год планового периода</t>
  </si>
  <si>
    <t>Итого предусмотрено на осуществление закупок на второй год планового периода</t>
  </si>
  <si>
    <t>Департамент финансов</t>
  </si>
  <si>
    <t>Электронный аукцион</t>
  </si>
  <si>
    <t>х</t>
  </si>
  <si>
    <t xml:space="preserve"> апрель 2027</t>
  </si>
  <si>
    <t>Открытый конкурс в электронной форме</t>
  </si>
  <si>
    <t>273860220023486020100100050006203244</t>
  </si>
  <si>
    <t>273860220023486020100100040006203244</t>
  </si>
  <si>
    <t>263860220023486020100100060006203244</t>
  </si>
  <si>
    <t>март 2026</t>
  </si>
  <si>
    <t>Оказание услуг по сопровождению автоматизированной системы планирования и исполнения бюджета города на основе программного обеспечения «Автоматизированный Центр контроля» с размещением информации о бюджете города в доступной для граждан форме на отдельном информационном портале «Бюджет для граждан»</t>
  </si>
  <si>
    <t>Оказание услуг по сопровождению муниципальной информационной системы "Централизованная информационно-аналитическая система бухгалтерского (бюджетного),  кадрового учета и формирования отчетности"</t>
  </si>
  <si>
    <t>Администрация города Сургута</t>
  </si>
  <si>
    <t>263860202024986020100100070005911244</t>
  </si>
  <si>
    <t>Оказание услуг по изготовлению и трансляции видеороликов социальной рекламы на каналах телевизионного вещания</t>
  </si>
  <si>
    <t>Запрос котировок в электронной форме</t>
  </si>
  <si>
    <t>сентябрь 2026</t>
  </si>
  <si>
    <t>263860202024986020100100090007311244</t>
  </si>
  <si>
    <t>Оказание услуг по прокату видеороликов социальной рекламы на наружных светодиодных экранах</t>
  </si>
  <si>
    <t>263860202024986020100100110001812244</t>
  </si>
  <si>
    <t>Изготовление и поставка печатной продукции</t>
  </si>
  <si>
    <t>263860202024986020100100130002599244</t>
  </si>
  <si>
    <t>Поставка предупреждающих знаков</t>
  </si>
  <si>
    <t>263860202024986020100100150003900244</t>
  </si>
  <si>
    <t>Рекультивация  нарушенных земель при размещении отходов IV-V класса опасности второй очереди муниципального полигона для захоронения твердых бытовых отходов города Сургута*</t>
  </si>
  <si>
    <t>263860202024986020100100320003900244</t>
  </si>
  <si>
    <t>Рекультивация  загрязненных земельных участков*</t>
  </si>
  <si>
    <t>263860202024986020100100180005819244</t>
  </si>
  <si>
    <t>Выполнение работ по изготовлению полиграфической (подарочной) продукции</t>
  </si>
  <si>
    <t>263860202024986020100100190009609244</t>
  </si>
  <si>
    <t>Выполнение работ по изготовлению сувенирной продукции</t>
  </si>
  <si>
    <t>263860202024986020100100210006311244</t>
  </si>
  <si>
    <t>Оказание услуг по информационному сопровождению деятельности органов местного самоуправления в средствах массовой информации (Интернет-ресурсы)</t>
  </si>
  <si>
    <t>август 2026</t>
  </si>
  <si>
    <t>263860202024986020100100220005911244</t>
  </si>
  <si>
    <t>Оказание услуг по информационному сопровождению деятельности органов местного самоуправления в средствах массовой информации (телевидение)*</t>
  </si>
  <si>
    <t>263860202024986020100100260005610244</t>
  </si>
  <si>
    <t>Услуги по организации питания при проведении официальных мероприятий, организации приемов и обслуживании делегаций</t>
  </si>
  <si>
    <t>263860202024986020100100330008230244</t>
  </si>
  <si>
    <t>Оказание услуг по организации торговых выставок</t>
  </si>
  <si>
    <t>Итого предусмотрено на осуществление закупок в текущем году по Администрации города Сургута:</t>
  </si>
  <si>
    <t>273860202024986020100100510005911244</t>
  </si>
  <si>
    <t>сентябрь 2027</t>
  </si>
  <si>
    <t>273860202024986020100100520007311244</t>
  </si>
  <si>
    <t>март 2027</t>
  </si>
  <si>
    <t>273860202024986020100100530001812244</t>
  </si>
  <si>
    <t>273860202024986020100100540002599244</t>
  </si>
  <si>
    <t>273860202024986020100100320007490244</t>
  </si>
  <si>
    <t>Оказание услуг по разработке топливно-энергетического баланса муниципального образования.</t>
  </si>
  <si>
    <t>273860202024986020100100430005221323</t>
  </si>
  <si>
    <t>Оказание услуг по предоставлению мест для стоянки и хранению автотранспортных средств</t>
  </si>
  <si>
    <t>273860202024986020100100440005819244</t>
  </si>
  <si>
    <t>апрель 2027</t>
  </si>
  <si>
    <t>273860202024986020100100370009609244</t>
  </si>
  <si>
    <t>июнь 2027</t>
  </si>
  <si>
    <t>273860202024986020100100380008230244</t>
  </si>
  <si>
    <t>Оказание услуг по организации конференций и выставок</t>
  </si>
  <si>
    <t>273860202024986020100100450006311244</t>
  </si>
  <si>
    <t>273860202024986020100100470005911244</t>
  </si>
  <si>
    <t>Оказание услуг по информационному сопровождению деятельности органов местного самоуправления в средствах массовой информации (телевидение)</t>
  </si>
  <si>
    <t>273860202024986020100100480005920244</t>
  </si>
  <si>
    <t>Оказание услуг по информационному сопровождению деятельности органов местного самоуправления в средствах массовой информации (радио)</t>
  </si>
  <si>
    <t>273860202024986020100100500001811244</t>
  </si>
  <si>
    <t>Оказание услуг по информационному сопровождению деятельности органов местного самоуправления в средствах массовой информации (печатные издания)</t>
  </si>
  <si>
    <t>273860202024986020100100550006020244</t>
  </si>
  <si>
    <t>Оказание услуг по производству и прокату видеороликов социальной рекламы</t>
  </si>
  <si>
    <t>273860202024986020100100570005911244</t>
  </si>
  <si>
    <t>Оказание услуг по производству и трансляции видеороликов социальной рекламы</t>
  </si>
  <si>
    <t>273860202024986020100100580005610244</t>
  </si>
  <si>
    <t>273860202024986020100100600003213244</t>
  </si>
  <si>
    <t>Изготовление протокольной атрибутики: награды</t>
  </si>
  <si>
    <t>273860202024986020100100610001512244</t>
  </si>
  <si>
    <t>Изготовление протокольной атрибутики: наградные папки</t>
  </si>
  <si>
    <t>273860202024986020100100620002229244</t>
  </si>
  <si>
    <t>Изготовление протокольной атрибутики: багетные рамки</t>
  </si>
  <si>
    <t>273860202024986020100100420007120244</t>
  </si>
  <si>
    <t>Оказание услуг по проведению специальной оценки условий труда</t>
  </si>
  <si>
    <t>273860202024986020100100400000119244</t>
  </si>
  <si>
    <t>Поставка цветочных композиций</t>
  </si>
  <si>
    <t>273860202024986020100100390001629244</t>
  </si>
  <si>
    <t>Поставка наградной атрибутики</t>
  </si>
  <si>
    <t>273860202024986020100100360008621244</t>
  </si>
  <si>
    <t>Оказание услуг по проведению диспансеризации муниципальных служащих</t>
  </si>
  <si>
    <t>273860202024986020100100560008230244</t>
  </si>
  <si>
    <t>Итого предусмотрено на осуществление закупок на первый год планового периода по Администрации города Сургута:</t>
  </si>
  <si>
    <t>283860202024986020100100060007490244</t>
  </si>
  <si>
    <t>сентябрь 2028</t>
  </si>
  <si>
    <t>283860202024986020100100160005819244</t>
  </si>
  <si>
    <t>март 2028</t>
  </si>
  <si>
    <t>283860202024986020100100100009609244</t>
  </si>
  <si>
    <t>283860202024986020100100110008230244</t>
  </si>
  <si>
    <t>283860202024986020100100170006311244</t>
  </si>
  <si>
    <t>283860202024986020100100190005911244</t>
  </si>
  <si>
    <t>283860202024986020100100200005920244</t>
  </si>
  <si>
    <t>апрель 2028</t>
  </si>
  <si>
    <t>283860202024986020100100210001811244</t>
  </si>
  <si>
    <t>июнь 2028</t>
  </si>
  <si>
    <t>283860202024986020100100220006020244</t>
  </si>
  <si>
    <t>283860202024986020100100240005911244</t>
  </si>
  <si>
    <t>283860202024986020100100250005610244</t>
  </si>
  <si>
    <t>283860202024986020100100270003213244</t>
  </si>
  <si>
    <t>283860202024986020100100280001512244</t>
  </si>
  <si>
    <t>283860202024986020100100260002229244</t>
  </si>
  <si>
    <t>283860202024986020100100180007120244</t>
  </si>
  <si>
    <t>283860202024986020100100120000119244</t>
  </si>
  <si>
    <t>283860202024986020100100150001629244</t>
  </si>
  <si>
    <t>283860202024986020100100090008621244</t>
  </si>
  <si>
    <t>283860202024986020100100230008230244</t>
  </si>
  <si>
    <t>Итого предусмотрено на осуществление закупок на второй год планового периода по Администрации города Сургута:</t>
  </si>
  <si>
    <t>МБУК ЦБС</t>
  </si>
  <si>
    <t>263860200260286020100100160008010244</t>
  </si>
  <si>
    <t>Оказание охранных услуг</t>
  </si>
  <si>
    <t>сентябрь, 2026</t>
  </si>
  <si>
    <t>263860200260286020100100170004932244</t>
  </si>
  <si>
    <t>Оказание услуг по организации перевозок пассажиров и багажа легковым такси в 2027 году</t>
  </si>
  <si>
    <t>263860200260286020100100180008010244</t>
  </si>
  <si>
    <t>263860200260286020100100190000000244</t>
  </si>
  <si>
    <t>Оказание услуг по уборке помещений и крылец в 2027 году</t>
  </si>
  <si>
    <t>Итого предусмотрено на осуществление закупок в текущем году по МБУК "ЦБС"</t>
  </si>
  <si>
    <t>273860200260286020100100020004932244</t>
  </si>
  <si>
    <t>Оказание услуг по организации перевозок пассажиров и багажа легковым такси в 2028 году</t>
  </si>
  <si>
    <t>февраль, 2027</t>
  </si>
  <si>
    <t>273860200260286020100100040008010244</t>
  </si>
  <si>
    <t>273860200260286020100100050008010244</t>
  </si>
  <si>
    <t>273860200260286020100100060000000244</t>
  </si>
  <si>
    <t>Оказание услуг по уборке помещений и крылец в 2028 году</t>
  </si>
  <si>
    <t>МБУК "Сургутский краеведческий музей"</t>
  </si>
  <si>
    <t>263860201720786020100100180008121244</t>
  </si>
  <si>
    <t>Оказание услуг по уборке помещений</t>
  </si>
  <si>
    <t>263860201720786020100100170008010244</t>
  </si>
  <si>
    <t>273860201720786020100100030004932244</t>
  </si>
  <si>
    <t>Оказание услуг по организации перевозок пассажиров и багажа легковым такси</t>
  </si>
  <si>
    <t>273860201720786020100100040008010244</t>
  </si>
  <si>
    <t>273860201720786020100100050008121244</t>
  </si>
  <si>
    <t>МБУ ИКЦ "Старый Сургут"</t>
  </si>
  <si>
    <t>263860200331786020100100250008129244</t>
  </si>
  <si>
    <t>Оказание услуг по механизированной уборке, вывозу снега на полигон на 2027 год</t>
  </si>
  <si>
    <t>263860200331786020100100260008121244</t>
  </si>
  <si>
    <t>Оказание услуг по уборке помещений на 2027 год</t>
  </si>
  <si>
    <t>263860200331786020100100270008010244</t>
  </si>
  <si>
    <t>Оказание охранных услуг в 2027 году</t>
  </si>
  <si>
    <t>август, 2026</t>
  </si>
  <si>
    <t>273860200331786020100100070009329244</t>
  </si>
  <si>
    <t>Оказание услуг по созданию ледовых композиций на площадке фестиваля «ЗИМАРТ»</t>
  </si>
  <si>
    <t>март, 2027</t>
  </si>
  <si>
    <t>273860200331786020100100080002640244</t>
  </si>
  <si>
    <t>Поставка звукового оборудования</t>
  </si>
  <si>
    <t>273860200331786020100100090008129244</t>
  </si>
  <si>
    <t>Оказание услуг по механизированной уборке, вывозу снега на полигон на 2028 год</t>
  </si>
  <si>
    <t>июнь, 2027</t>
  </si>
  <si>
    <t>273860200331786020100100100008121244</t>
  </si>
  <si>
    <t>Оказание услуг по уборке помещений на 2028 год</t>
  </si>
  <si>
    <t>273860200331786020100100110008010244</t>
  </si>
  <si>
    <t>Оказание охранных услуг в 2028 году</t>
  </si>
  <si>
    <t>283860200331786020100100020009329244</t>
  </si>
  <si>
    <t>март, 2028</t>
  </si>
  <si>
    <t>283860200331786020100100030002640244</t>
  </si>
  <si>
    <t xml:space="preserve"> МБУДО «ДШИ им. Г. Кукуевицкого»</t>
  </si>
  <si>
    <t>263860200317086020100100100008621244</t>
  </si>
  <si>
    <t>Оказание услуг по проведению периодических медицинских осмотров работников в 2027-2028 году</t>
  </si>
  <si>
    <t>263860200317086020100100110008121244</t>
  </si>
  <si>
    <t>Оказание услуг по уборке помещений в 2027-2028 году</t>
  </si>
  <si>
    <t>263860200317086020100100120004932244</t>
  </si>
  <si>
    <t>Оказание услуг по организации перевозок пассажиров и багажа легковым такси в 2027-2028 гг.</t>
  </si>
  <si>
    <t>МБУДО "ДШИ № 1"</t>
  </si>
  <si>
    <t>263860200261086020100100190008121244</t>
  </si>
  <si>
    <t>июль, 2026</t>
  </si>
  <si>
    <t>273860200261086020100100020004932244</t>
  </si>
  <si>
    <t>МБУДО "ДШИ №2"</t>
  </si>
  <si>
    <t>263860200319486020100100150008121244</t>
  </si>
  <si>
    <t>273860200319486020100100050008010244</t>
  </si>
  <si>
    <t>273860200319486020100100040008121244</t>
  </si>
  <si>
    <t>МБУДО «ДХШ №1 им. Л.А. Горды»</t>
  </si>
  <si>
    <t>263860200366086020100100240008121244</t>
  </si>
  <si>
    <t>октябрь,2026</t>
  </si>
  <si>
    <t>273860200366086020100100140008010244</t>
  </si>
  <si>
    <t>июль, 2027</t>
  </si>
  <si>
    <t>273860200366086020100100120008121244</t>
  </si>
  <si>
    <t>МБУ ДО СШ "Аверс"</t>
  </si>
  <si>
    <t>263860200239186020100100290003313244</t>
  </si>
  <si>
    <t xml:space="preserve">Техническое обслуживание систем видеонаблюдения в 2027 году </t>
  </si>
  <si>
    <t>Элекронный аукцион</t>
  </si>
  <si>
    <t xml:space="preserve">июль 2026 </t>
  </si>
  <si>
    <t>263860200239186020100100310008621244</t>
  </si>
  <si>
    <t>Оказание услуг по проведению медицинского осмотра по программе углубленного медицинского обследования (УМО) лиц, обучающихся спорту в 2027 году</t>
  </si>
  <si>
    <t>263860200239186020100100320008121244</t>
  </si>
  <si>
    <t>Оказание услуг по уборке помещений в 2027 году</t>
  </si>
  <si>
    <t>273860200239186020100100100008010244</t>
  </si>
  <si>
    <t>Оказание услуг по охране объектов и (или) имущества в 2028 году</t>
  </si>
  <si>
    <t>июль 2027</t>
  </si>
  <si>
    <t>273860200239186020100100110003313244</t>
  </si>
  <si>
    <t xml:space="preserve">Техническое обслуживание систем видеонаблюдения в 2028 году </t>
  </si>
  <si>
    <t>273860200239186020100100120008129244</t>
  </si>
  <si>
    <t xml:space="preserve">Выполнение работ по зимнему содержанию территории (уборка и вывоз снега) </t>
  </si>
  <si>
    <t>273860200239186020100100130008621244</t>
  </si>
  <si>
    <t xml:space="preserve">Оказание услуг по проведению периодических медицинских осмотров в 2028 году </t>
  </si>
  <si>
    <t>273860200239186020100100140008621244</t>
  </si>
  <si>
    <t>Оказание услуг по проведению медицинского осмотра по программе углубленного медицинского обследования (УМО) лиц, обучающихся спорту в 2028 году</t>
  </si>
  <si>
    <t>МБУ ДО СШОР № 1</t>
  </si>
  <si>
    <t>263860200230686020100100060008621244</t>
  </si>
  <si>
    <t>октябрь, 2026</t>
  </si>
  <si>
    <t>МБУ ДО СШОР "Югория"</t>
  </si>
  <si>
    <t>263860200245886020100100110008010244</t>
  </si>
  <si>
    <t>263860200245886020100100120008121244</t>
  </si>
  <si>
    <t>263860200245886020100100140008621244</t>
  </si>
  <si>
    <t>263860200245886020100100190008129244</t>
  </si>
  <si>
    <t>Оказание услуг по механизированной уборке территории от снега и вывозу снега</t>
  </si>
  <si>
    <t>263860200245886020100100200008122244</t>
  </si>
  <si>
    <t>Оказание услуг по очистке кровли от снега, наледи и вывозу снега с территории</t>
  </si>
  <si>
    <t>273860200245886020100100130008121244</t>
  </si>
  <si>
    <t>Июль, 2027</t>
  </si>
  <si>
    <t>273860200245886020100100140008621244</t>
  </si>
  <si>
    <t>Август, 2027</t>
  </si>
  <si>
    <t>273860200245886020100100150008129244</t>
  </si>
  <si>
    <t>Оказание услуг по механизированной уборке и вывозу снега</t>
  </si>
  <si>
    <t>273860200245886020100100160008010244</t>
  </si>
  <si>
    <t>МБУ ДО СШОР "Ермак"</t>
  </si>
  <si>
    <t>26 38602003123860201001 0004 000 8121 244</t>
  </si>
  <si>
    <t>26 38602003123860201001 0003 000 8621 244</t>
  </si>
  <si>
    <t>октябрь 2026</t>
  </si>
  <si>
    <t>27 38602003123860201001 0009 000 8010 244</t>
  </si>
  <si>
    <t>27 38602003123860201001 0010 000 8121 244</t>
  </si>
  <si>
    <t>27 38602003123860201001 0011 000 8621 244</t>
  </si>
  <si>
    <t>МБУ ДО СШОР "Кедр"</t>
  </si>
  <si>
    <t>263860200365286020100100290003700247</t>
  </si>
  <si>
    <t>Оказание услуг по откачке и вывозу сточных вод из септиков</t>
  </si>
  <si>
    <t>263860200365286020100100280008010244</t>
  </si>
  <si>
    <t>263860200365286020100100340004939244</t>
  </si>
  <si>
    <t>Оказание автотранспортных услуг по перевозке организованных групп детей на территории Ханты-Мансийского автономного округа-Югры</t>
  </si>
  <si>
    <t>263860200365286020100100330008129244</t>
  </si>
  <si>
    <t>263860200365286020100100310008621244</t>
  </si>
  <si>
    <t>Оказание услуг по проведению медицинского осмотра по программе углубленного медицинского обследования (УМО) лиц, обучающихся спорту</t>
  </si>
  <si>
    <t>263860200365286020100100320008121244</t>
  </si>
  <si>
    <t>273860200365286020100100120003700247</t>
  </si>
  <si>
    <t>сентябрь, 2027</t>
  </si>
  <si>
    <t>273860200365286020100100100008010244</t>
  </si>
  <si>
    <t>273860200365286020100100150008129244</t>
  </si>
  <si>
    <t>273860200365286020100100130008621244</t>
  </si>
  <si>
    <t>273860200365286020100100140008121244</t>
  </si>
  <si>
    <t>МБУ ЦФП "Надежда"</t>
  </si>
  <si>
    <t>283860200328286020100100010008010244</t>
  </si>
  <si>
    <t>февраль, 2028</t>
  </si>
  <si>
    <t>283860200328286020100100020008129244</t>
  </si>
  <si>
    <t>Выполнение работ по зимнему содержанию кортов</t>
  </si>
  <si>
    <t>283860200328286020100100070008621244</t>
  </si>
  <si>
    <t>Оказание услуг по проведению периодических медицинских осмотров работников</t>
  </si>
  <si>
    <t>283860200328286020100100080003313244</t>
  </si>
  <si>
    <t>Оказание услуг по техническому обслуживанию слаботочных систем</t>
  </si>
  <si>
    <t>МБУ ДО СШ "Виктория"</t>
  </si>
  <si>
    <t>26 38602002909860201001 0026 000 8621 244</t>
  </si>
  <si>
    <t>Оказание услуг по проведению периодических медицинских осмотров работников в 2027 году</t>
  </si>
  <si>
    <t>ноябрь 2026</t>
  </si>
  <si>
    <t>26 38602002909860201001 0018 000 8621 244</t>
  </si>
  <si>
    <t>27 38602002909860201001 0007 000 5829 244</t>
  </si>
  <si>
    <t>Оказание услуг по продлению неисключительных прав на использование и воспроизведение антивирусного программного обеспечения «Антивирус Касперского»</t>
  </si>
  <si>
    <t>27 38602002909860201001 0009 000 8621 244</t>
  </si>
  <si>
    <t>Оказание услуг по проведению периодических медицинских осмотров работников в 2028 году</t>
  </si>
  <si>
    <t>ноябрь 2027</t>
  </si>
  <si>
    <t>27 38602002909860201001 0016 000 8129 244</t>
  </si>
  <si>
    <t>Оказание услуг по зимнему содержанию территории (уборка и вывоз снега)</t>
  </si>
  <si>
    <t>август 2027</t>
  </si>
  <si>
    <t>27 38602002909860201001 0006 000 3213 244</t>
  </si>
  <si>
    <t>Поставка наградной продукции</t>
  </si>
  <si>
    <t>февраль 2027</t>
  </si>
  <si>
    <t>27 38602002909860201001 0004 000 8621 244</t>
  </si>
  <si>
    <t>27 38602002909860201001 0017 000 8121 244</t>
  </si>
  <si>
    <t>Оказание услуг по уборке помещений в 2028 году</t>
  </si>
  <si>
    <t>27 38602002909860201001 0008 000 8010 244</t>
  </si>
  <si>
    <t>28 38602002909860201001 0002 000 5829 244</t>
  </si>
  <si>
    <t>28 38602002909860201001 0001 000 3213 244</t>
  </si>
  <si>
    <t>февраль 2028</t>
  </si>
  <si>
    <t>МБУ "Вариант"</t>
  </si>
  <si>
    <t>263860200291686020100100270008020244</t>
  </si>
  <si>
    <t>Оказание услуг по техническому обслуживанию систем (средств, установок) обеспечения пожарной безопасности зданий и сооружений для обеспечения муниципальных нужд</t>
  </si>
  <si>
    <t>263860200291686020100100280003312244</t>
  </si>
  <si>
    <t>Оказание услуг по техническому обслуживанию систем видеонаблюдения</t>
  </si>
  <si>
    <t>263860200291686020100100290008121244</t>
  </si>
  <si>
    <t>263860200291686020100100300008129244</t>
  </si>
  <si>
    <t>Оказание услуг по проведению дезинфекционных мероприятий: дезинсекция и дератизация</t>
  </si>
  <si>
    <t>263860200291686020100100310008621244</t>
  </si>
  <si>
    <t>Оказание услуг по проведению предрейсовых и послерейсовых медицинских осмотров водителей</t>
  </si>
  <si>
    <t>263860200291686020100100320008621244</t>
  </si>
  <si>
    <t>263860200291686020100100330008621244</t>
  </si>
  <si>
    <t>Оказание услуг по проведению предварительного медицинского осмотра лиц, поступающих на работу в МБУ "Вариант"</t>
  </si>
  <si>
    <t>263860200291686020100100340008122244</t>
  </si>
  <si>
    <t>Оказание услуг по очистке плоских крыш от снега, сосулек и наледи</t>
  </si>
  <si>
    <t>263860200291686020100100350008129244</t>
  </si>
  <si>
    <t>Оказание услуг по очистке от снега и наледи наружных пристроек</t>
  </si>
  <si>
    <t>263860200291686020100100360008010244</t>
  </si>
  <si>
    <t>263860200291686020100100370003230244</t>
  </si>
  <si>
    <t>Поставка расходных материалов для пейнтбольных маркеров (шары)</t>
  </si>
  <si>
    <t>263860200291686020100100380002229244</t>
  </si>
  <si>
    <t>Поставка рамок для диплома</t>
  </si>
  <si>
    <t>263860200291686020100100390003213244</t>
  </si>
  <si>
    <t>263860200291686020100100400001399244</t>
  </si>
  <si>
    <t>Поставка ланъярдов для бейджа</t>
  </si>
  <si>
    <t>263860200291686020100100420004520244</t>
  </si>
  <si>
    <t>Оказание услуг по техническому обслуживанию и ремонту автотранспортных средств</t>
  </si>
  <si>
    <t>263860200291686020100100430001431244</t>
  </si>
  <si>
    <t>Поставка носков с нанесением логотипов по эскизам Заказчика</t>
  </si>
  <si>
    <t>263860200291686020100100440000000244</t>
  </si>
  <si>
    <t>Поставка текстильных изделий с нанесением логотипов по эскизам Заказчика</t>
  </si>
  <si>
    <t>263860200291686020100100450002229244</t>
  </si>
  <si>
    <t>Поставка стикеров и стикерпаков с печатью по эскизам Заказчика</t>
  </si>
  <si>
    <t>263860200291686020100100660000210244</t>
  </si>
  <si>
    <t>Поставка наборов для выращивания с нанесением логотипа по эскизу Заказчика</t>
  </si>
  <si>
    <t>273860200291686020100100020002229244</t>
  </si>
  <si>
    <t>273860200291686020100100030003213244</t>
  </si>
  <si>
    <t>273860200291686020100100040001399244</t>
  </si>
  <si>
    <t>273860200291686020100100060004520244</t>
  </si>
  <si>
    <t>273860200291686020100100070001431244</t>
  </si>
  <si>
    <t>273860200291686020100100080000000244</t>
  </si>
  <si>
    <t>273860200291686020100100090002229244</t>
  </si>
  <si>
    <t>273860200291686020100100230003230244</t>
  </si>
  <si>
    <t>273860200291686020100100240000210244</t>
  </si>
  <si>
    <t>МБУ "ЦСП "Сибирский легион"</t>
  </si>
  <si>
    <t>273860200288186020100100170008010244</t>
  </si>
  <si>
    <t>273860200288186020100100150008129244</t>
  </si>
  <si>
    <t>Оказание услуг по летнему содержанию мототрассы</t>
  </si>
  <si>
    <t>273860200288186020100100140004939244</t>
  </si>
  <si>
    <t>Оказание автотранспортных услуг</t>
  </si>
  <si>
    <t>273860200288186020100100190001629244</t>
  </si>
  <si>
    <t>Приобретение наградной продукции</t>
  </si>
  <si>
    <t>273860200288186020100100210003299244</t>
  </si>
  <si>
    <t>Поставка канцелярских принадлежностей</t>
  </si>
  <si>
    <t>273860200288186020100100180008621244</t>
  </si>
  <si>
    <t>273860200288186020100100220001412244</t>
  </si>
  <si>
    <t>Поставка спецодежды</t>
  </si>
  <si>
    <t>283860200288186020100100050008010244</t>
  </si>
  <si>
    <t>283860200288186020100100020004939244</t>
  </si>
  <si>
    <t>283860200288186020100100070001629244</t>
  </si>
  <si>
    <t>283860200288186020100100090003299244</t>
  </si>
  <si>
    <t>283860200288186020100100060008621244</t>
  </si>
  <si>
    <t>283860200288186020100100100001412244</t>
  </si>
  <si>
    <t>283860200288186020100100040004520244</t>
  </si>
  <si>
    <t>Оказание услуг по диагностике, техническому обслуживанию и ремонту автотранспортных средств</t>
  </si>
  <si>
    <t>283860200288186020100100030008129244</t>
  </si>
  <si>
    <t>МКУ ССЦ</t>
  </si>
  <si>
    <t>263860200330086020100100110008121244</t>
  </si>
  <si>
    <t>Оказание услуг по уборке помещений в 2027 году.</t>
  </si>
  <si>
    <t>263860200330086020100100240005629244</t>
  </si>
  <si>
    <t>Оказание услуг по организации общественного питания в 2027 глду</t>
  </si>
  <si>
    <t>263860200330086020100100380008129244</t>
  </si>
  <si>
    <t>Оказание услуг по уборке и вывозу снега с территории в 2027 году.</t>
  </si>
  <si>
    <t>263860200330086020100100400001414244</t>
  </si>
  <si>
    <t>273860200330086020100100010000000244</t>
  </si>
  <si>
    <t>Поставка запасных частей для судов, лодок и лодочных моторов</t>
  </si>
  <si>
    <t>273860200330086020100100020003315244</t>
  </si>
  <si>
    <t>Оказание услуг по техническому обслуживанию и ремонту судов, лодок и лодочных моторов</t>
  </si>
  <si>
    <t>273860200330086020100100030003822244</t>
  </si>
  <si>
    <t>Оказание услуг по транспортировке и обезвреживанию отхода: «Всплывшие нефтепродукты из нефтеловушек и аналогичных сооружений»</t>
  </si>
  <si>
    <t>273860200330086020100100040008425244</t>
  </si>
  <si>
    <t>Оказание услуги по организации дежурства патрульно-спасательных постов в местах массового отдыха людей на водоемах города Сургута в 2027 году.</t>
  </si>
  <si>
    <t>273860200330086020100100050008542244</t>
  </si>
  <si>
    <t>Оказание услуг по обучению работодателей и работников вопросам охраны труда</t>
  </si>
  <si>
    <t>273860200330086020100100060001920244</t>
  </si>
  <si>
    <t>Поставка моторных и трансмиссионных масел для судов, лодочных моторов, снегоходов и водолазного оборудования.</t>
  </si>
  <si>
    <t>273860200330086020100100070002823244</t>
  </si>
  <si>
    <t>Поставка оригинальных расходных материалов и запасных частей для печатающих устройств.</t>
  </si>
  <si>
    <t>273860200330086020100100080008621244</t>
  </si>
  <si>
    <t>Оказание услуг по проведению периодических медицинских осмотров работников в 2027 году.</t>
  </si>
  <si>
    <t>273860200330086020100100090001712244</t>
  </si>
  <si>
    <t>Поставка бумаги</t>
  </si>
  <si>
    <t>273860200330086020100100510002211244</t>
  </si>
  <si>
    <t>Поставка шин для автотранспорта</t>
  </si>
  <si>
    <t>273860200330086020100100520002720244</t>
  </si>
  <si>
    <t>Поставка аккумуляторных батарей</t>
  </si>
  <si>
    <t>273860200330086020100100530008121244</t>
  </si>
  <si>
    <t>Оказание услуг по уборке помещений в 2028 году.</t>
  </si>
  <si>
    <t>273860200330086020100100560005629244</t>
  </si>
  <si>
    <t>Оказание услуг по организации общественного питания на 2028 год</t>
  </si>
  <si>
    <t>273860200330086020100100570004520244</t>
  </si>
  <si>
    <t>Оказание услуг по техническому обслуживанию и ремонту автотранспортных средств для обеспечения муниципальных нужд.</t>
  </si>
  <si>
    <t>273860200330086020100100610000000244</t>
  </si>
  <si>
    <t>273860200330086020100100620001920244</t>
  </si>
  <si>
    <t>Поставка топлива с заправкой автотранспортных средств (товар, необходимый для нормального жизнеобеспечения).</t>
  </si>
  <si>
    <t>273860200330086020100100630001920244</t>
  </si>
  <si>
    <t>273860200330086020100100670003315244</t>
  </si>
  <si>
    <t>273860200330086020100100680008129244</t>
  </si>
  <si>
    <t>Оказание услуг по уборке и вывозу снега с территории в 2028 году.</t>
  </si>
  <si>
    <t>273860200330086020100100690001414244</t>
  </si>
  <si>
    <t>283860200330086020100100010000000244</t>
  </si>
  <si>
    <t>283860200330086020100100030003822244</t>
  </si>
  <si>
    <t>283860200330086020100100040008425244</t>
  </si>
  <si>
    <t>Оказание услуги по организации дежурства патрульно-спасательных постов в местах массового отдыха людей на водоемах города Сургута в 2028 году.</t>
  </si>
  <si>
    <t>283860200330086020100100060008542244</t>
  </si>
  <si>
    <t>283860200330086020100100080008621244</t>
  </si>
  <si>
    <t>Оказание услуг по проведению периодических медицинских осмотров работников в 2028 году.</t>
  </si>
  <si>
    <t>283860200330086020100100090001712244</t>
  </si>
  <si>
    <t>283860200330086020100100510002211244</t>
  </si>
  <si>
    <t>283860200330086020100100520002720244</t>
  </si>
  <si>
    <t>283860200330086020100100530001920244</t>
  </si>
  <si>
    <t>283860200330086020100100560001920244</t>
  </si>
  <si>
    <t>283860200330086020100100570002823244</t>
  </si>
  <si>
    <t>МКУ "ЕДДС города Сургута"</t>
  </si>
  <si>
    <t>263860218872486020100100320006203244</t>
  </si>
  <si>
    <t>Оказание услуг по технической поддержки специализированного программного обеспечения «Исток–СМ»</t>
  </si>
  <si>
    <t>июль 2026</t>
  </si>
  <si>
    <t>273860218872486020100100090004321244</t>
  </si>
  <si>
    <t>Модернизация муниципальной системы оповещения населения г.Сургута</t>
  </si>
  <si>
    <t>273860218872486020100100130003313244</t>
  </si>
  <si>
    <t>Оказание услуг по сезонному техническому обслуживанию оборудования</t>
  </si>
  <si>
    <t>273860218872486020100100100008121244</t>
  </si>
  <si>
    <t>январь 2027</t>
  </si>
  <si>
    <t>273860218872486020100100150006203244</t>
  </si>
  <si>
    <t>Оказание услуг по программному сопровождению муниципальной системы оповещения и информирования населения города Сургута</t>
  </si>
  <si>
    <t>273860218872486020100100160006203244</t>
  </si>
  <si>
    <t>май 2027</t>
  </si>
  <si>
    <t>273860218872486020100100110003313244</t>
  </si>
  <si>
    <t>Оказание услуг по техническому обслуживанию комплексов мониторинга окружающей среды</t>
  </si>
  <si>
    <t>273860218872486020100100120003313244</t>
  </si>
  <si>
    <t>Оказание услуг по техническому обслуживанию муниципальной системы оповещения и информирования населения города Сургута</t>
  </si>
  <si>
    <t>273860218872486020100100140004932244</t>
  </si>
  <si>
    <t>Итого предусмотрено на осуществление закупок на первый год планового периода по МКУ "ЕДДС города Сургута":</t>
  </si>
  <si>
    <t>283860218872486020100100010004321244</t>
  </si>
  <si>
    <t>283860218872486020100100030003313244</t>
  </si>
  <si>
    <t>283860218872486020100100020008121244</t>
  </si>
  <si>
    <t>январь 2028</t>
  </si>
  <si>
    <t>МКУ "ЦООД"</t>
  </si>
  <si>
    <t>263860227161286020100100300008121244</t>
  </si>
  <si>
    <t>263860227161286020100100320008542244</t>
  </si>
  <si>
    <t>Оказание услуг по проведению повышения квалификации для руководителей муниципальных учреждений</t>
  </si>
  <si>
    <t>263860227161286020100100340008542244</t>
  </si>
  <si>
    <t>263860227161286020100100370002041244</t>
  </si>
  <si>
    <t>Поставка изделий санитарно-гигиенического назначения</t>
  </si>
  <si>
    <t>263860227161286020100100400002620244</t>
  </si>
  <si>
    <t>Поставка элементов замены типовых устройств ввода и вывода</t>
  </si>
  <si>
    <t>263860227161286020100100440001712244</t>
  </si>
  <si>
    <t>Поставка бумаги для офисной техники</t>
  </si>
  <si>
    <t>263860227161286020100100080008541244</t>
  </si>
  <si>
    <t>Оказание услуг по проведению планового семинара для работников Администрации города Сургута, ее структурных подразделений и муниципальных учреждений</t>
  </si>
  <si>
    <t>263860227161286020100100090008541244</t>
  </si>
  <si>
    <t>Оказание услуг по проведению планового семинара для работников Администрации города Сургута, ее структурных подразделений</t>
  </si>
  <si>
    <t>263860227161286020100100100008541244</t>
  </si>
  <si>
    <t>Оказание услуг по проведению плановых семинаров для работников Администрации города Сургута, ее структурных подразделений</t>
  </si>
  <si>
    <t>263860227161286020100100110008541244</t>
  </si>
  <si>
    <t>263860227161286020100100160008542244</t>
  </si>
  <si>
    <t>Оказание услуг по проведению повышения квалификации для работников Администрации города Сургута, ее структурных подразделений</t>
  </si>
  <si>
    <t>263860227161286020100100180008541244</t>
  </si>
  <si>
    <t>263860227161286020100100190008541244</t>
  </si>
  <si>
    <t>263860227161286020100100280009511244</t>
  </si>
  <si>
    <t>Оказание услуг по заправке картриджей</t>
  </si>
  <si>
    <t>2638602271612 86020100100510002620244</t>
  </si>
  <si>
    <t xml:space="preserve"> МКУ "ЦООД"</t>
  </si>
  <si>
    <t>273860227161286020100100310008121244</t>
  </si>
  <si>
    <t>273860227161286020100100350008542244</t>
  </si>
  <si>
    <t>273860227161286020100100330008542244</t>
  </si>
  <si>
    <t>273860227161286020100100390002041244</t>
  </si>
  <si>
    <t>273860227161286020100100420002620244</t>
  </si>
  <si>
    <t>273860227161286020100100430002620244</t>
  </si>
  <si>
    <t>273860227161286020100100450001712244</t>
  </si>
  <si>
    <t>273860227161286020100100120008541244</t>
  </si>
  <si>
    <t>273860227161286020100100130008541244</t>
  </si>
  <si>
    <t>273860227161286020100100140008541244</t>
  </si>
  <si>
    <t>273860227161286020100100150008541244</t>
  </si>
  <si>
    <t>273860227161286020100100170008542244</t>
  </si>
  <si>
    <t>273860227161286020100100200008541244</t>
  </si>
  <si>
    <t>273860227161286020100100210008541244</t>
  </si>
  <si>
    <t>273860227161286020100100260004932244</t>
  </si>
  <si>
    <t>273860227161286020100100290009511244</t>
  </si>
  <si>
    <t>Итого предусмотрено на осуществление закупок на первый год планового периода по МКУ "ЦООД":</t>
  </si>
  <si>
    <t>МКУ "УИТС г. Сургута"</t>
  </si>
  <si>
    <t>263860200254686020100101070009511244</t>
  </si>
  <si>
    <t>Оказание услуг по техническому обслуживанию и ремонту вычислительной, копировально-множительной техники и периферийного оборудования в муниципальных учреждениях</t>
  </si>
  <si>
    <t>263860200254686020100101270005829244</t>
  </si>
  <si>
    <t>263860200254686020100101400003313244</t>
  </si>
  <si>
    <t>Оказание услуг по техническому обслуживанию информационных табло, установленных на остановочных комплексах на территории города Сургута</t>
  </si>
  <si>
    <t>263860200254686020100101460006203244</t>
  </si>
  <si>
    <t>Оказание услуг по адаптации и сопровождению экземпляров Систем КонсультантПлюс на основе специального лицензионного сервисного программного обеспечения, обеспечивающего совместимость (взаимодействие) услуг с ранее установленными экземплярами Систем КонсультантПлюс (в том числе специальной копией системы КонсультантПлюс)</t>
  </si>
  <si>
    <t>263860200254686020100101480005829244</t>
  </si>
  <si>
    <t>Оказание услуг по продлению (предоставлению) права использования программного обеспечения и базы данных Электронный периодический справочник «Система ГАРАНТ» (справочная правовая система), содержащую информацию о текущем состоянии законодательства Российской Федерации, на которую предоставляется право использования на условиях простой (неисключительной) лицензии для структурных подразделений Администрации г. Сургута и муниципальных учреждений</t>
  </si>
  <si>
    <t>263860200254686020100101500006203244</t>
  </si>
  <si>
    <t>Оказание услуг по сопровождению и доработке автоматизированных информационных систем бюджетного (бухгалтерского), кадрового учета и отчетности на платформе «1С: Предприятие»</t>
  </si>
  <si>
    <t>263860200254686020100101510006203244</t>
  </si>
  <si>
    <t>Оказание услуг по информационно-технологическому сопровождению программных продуктов, входящих в состав открытой лицензии на предоставление неисключительного права использования программных продуктов для автоматизированного ведения бюджетного (бухгалтерского), кадрового учета и формирования отчетности в органах местного самоуправления, учреждениях городского округа город Сургут Ханты-Мансийского автономного округа – Югры на 2027 год</t>
  </si>
  <si>
    <t>263860200254686020100101560006203244</t>
  </si>
  <si>
    <t>Оказание услуг по сопровождению программ «Свод дебиторской и кредиторской задолженности»</t>
  </si>
  <si>
    <t>263860200254686020100101580006203244</t>
  </si>
  <si>
    <t>Оказание услуг по сопровождению программных продуктов «Учёт выданных кредитов на покупку жилья по программе «Ликвидация ветхого жилого фонда», «Учет рассрочки платежа по реализации преимущественного права выкупа арендаторами»</t>
  </si>
  <si>
    <t>Запрос котировки в электронной форме</t>
  </si>
  <si>
    <t>263860200254686020100101600006311244</t>
  </si>
  <si>
    <t>Оказание услуг по ведению классификатора муниципальных правовых актов</t>
  </si>
  <si>
    <t>263860200254686020100101610006202244</t>
  </si>
  <si>
    <t>Оказание услуг по предоставлению сертификата активации сервиса технической поддержки программного продукта IntraService (тариф Расширенный)</t>
  </si>
  <si>
    <t>263860200254686020100101630006203244</t>
  </si>
  <si>
    <t>Оказание услуг по сопровождению системы расчета стоимости услуг муниципальных учреждений</t>
  </si>
  <si>
    <t>263860200254686020100101680006202244</t>
  </si>
  <si>
    <t>Оказание услуг по предоставлению сертификата активации сервиса технической поддержки прикладного программного обеспечения «Учет судебных дел»</t>
  </si>
  <si>
    <t>263860200254686020100101710006203244</t>
  </si>
  <si>
    <t>Оказание услуг по информационно-техническому сопровождению программного обеспечения «Ангел: Административная Практика»</t>
  </si>
  <si>
    <t>263860200254686020100101750006203244</t>
  </si>
  <si>
    <t>Оказание услуг по сопровождению системы управления очередью в управлении записи актов гражданского состояния Администрации города Сургута.</t>
  </si>
  <si>
    <t>273860200254686020100100380002620244</t>
  </si>
  <si>
    <t>273860200254686020100100400002620244</t>
  </si>
  <si>
    <t>Поставка компьютеров и периферийного оборудования</t>
  </si>
  <si>
    <t>273860200254686020100100410001712244</t>
  </si>
  <si>
    <t>273860200254686020100100420002640244</t>
  </si>
  <si>
    <t>Поставка специального комплекса регистрации видео- и аудиоинформации</t>
  </si>
  <si>
    <t>273860200254686020100100450008010244</t>
  </si>
  <si>
    <t>273860200254686020100100480007112244</t>
  </si>
  <si>
    <t>Оказание услуг по поверке (калибровке) средств измерений, аттестации испытательного оборудования</t>
  </si>
  <si>
    <t>273860200254686020100100490006190244</t>
  </si>
  <si>
    <t>Оказание услуг по организации сети передачи данных для системы видеонаблюдения на остановочных павильонах города Сургута и предоставления Wi-Fi доступа к ресурсам сети Интернет</t>
  </si>
  <si>
    <t>273860200254686020100100500006110244</t>
  </si>
  <si>
    <t>Оказание услуг по предоставлению доступа к сетям электросвязи и оказание услуг телематических служб (доступ к сети передачи данных «Интернет»)</t>
  </si>
  <si>
    <t>273860200254686020100100510006110244</t>
  </si>
  <si>
    <t>Оказание услуг сети передачи данных с использованием технологии виртуальной частной сети второго уровня</t>
  </si>
  <si>
    <t>273860200254686020100100520006110244</t>
  </si>
  <si>
    <t>Оказание услуг телематических служб (доступ к сети передачи данных «Интернет»)</t>
  </si>
  <si>
    <t>273860200254686020100100550006190244</t>
  </si>
  <si>
    <t>Оказание услуг по предоставлению волоконно-оптических линий и оконечного активного сетевого оборудования</t>
  </si>
  <si>
    <t>273860200254686020100100560006190244</t>
  </si>
  <si>
    <t>Оказание услуг по предоставлению волоконно-оптических линий и оконечного активного сетевого оборудования для образовательных учреждений города Сургута</t>
  </si>
  <si>
    <t>273860200254686020100100570006110244</t>
  </si>
  <si>
    <t>Оказание услуг сети передачи данных для муниципальной информационной системы Администрации города Сургута</t>
  </si>
  <si>
    <t>273860200254686020100100580006190244</t>
  </si>
  <si>
    <t>Оказание услуг по предоставлению волоконно-оптических линий и оконечного активного сетевого оборудования для муниципальных учреждений города Сургута</t>
  </si>
  <si>
    <t>273860200254686020100100590004932244</t>
  </si>
  <si>
    <t>273860200254686020100100640005829244</t>
  </si>
  <si>
    <t>273860200254686020100100650006202244</t>
  </si>
  <si>
    <t>Оказание услуг по предоставлению сертификатов технической поддержки программного обеспечения Кибер Бэкап</t>
  </si>
  <si>
    <t>273860200254686020100100660006202244</t>
  </si>
  <si>
    <t>Оказание услуг по предоставлению сертификатов активации сервиса совместной технической поддержки ПО ViPNet</t>
  </si>
  <si>
    <t>273860200254686020100100670006202244</t>
  </si>
  <si>
    <t>Поставка ключа активации сервиса совместной технической поддержки средств защиты информации Secret Net Studio</t>
  </si>
  <si>
    <t>273860200254686020100100680006202244</t>
  </si>
  <si>
    <t>Поставка ключа активации сервиса прямой технической поддержки средств защиты информации</t>
  </si>
  <si>
    <t>273860200254686020100100690005829244</t>
  </si>
  <si>
    <t>Оказание услуг по продлению неисключительных прав на использование лицензионного программного обеспечения Xspider</t>
  </si>
  <si>
    <t>273860200254686020100100700006202244</t>
  </si>
  <si>
    <t>Оказание услуг по предоставлению ключа активации технической поддержки программного обеспечения</t>
  </si>
  <si>
    <t>273860200254686020100100710005829244</t>
  </si>
  <si>
    <t>Оказание услуг по передаче неисключительных прав на использование программы для ЭВМ</t>
  </si>
  <si>
    <t>273860200254686020100100720007490244</t>
  </si>
  <si>
    <t>Аттестация защищаемого помещения "Кабинет Главы города Сургута", "Студия конфиденциальной видеосвязи" по требованиям безопасности информации</t>
  </si>
  <si>
    <t>273860200254686020100100730007490244</t>
  </si>
  <si>
    <t>Оказание услуг по проведению периодического контроля уровня защиты информации ранее аттестованного объекта информатизации «Зал ВКС Администрации города Сургута»</t>
  </si>
  <si>
    <t>273860200254686020100100740007490244</t>
  </si>
  <si>
    <t>Оказание услуг по аттестационным испытаниям и проведению оценки эффективности защиты (защищенности) информации от утечки по техническим каналам и от несанкционированного доступа на объектах информатизации Администрации города Сургута</t>
  </si>
  <si>
    <t>273860200254686020100100750007490244</t>
  </si>
  <si>
    <t>Оказание услуг по проведению периодического контроля уровня защиты информации ранее аттестованных объектов информатизации</t>
  </si>
  <si>
    <t>273860200254686020100100760007490244</t>
  </si>
  <si>
    <t>Оказание услуг по проведению аттестационных мероприятий объектов информатизации требованиям ФСТЭК России по защите конфиденциальной информации</t>
  </si>
  <si>
    <t>273860200254686020100100770006311244</t>
  </si>
  <si>
    <t>Оказание услуг по организации видеонаблюдения с передачей видеопотока</t>
  </si>
  <si>
    <t>273860200254686020100100780005829244</t>
  </si>
  <si>
    <t>Оказание услуг по продлению неисключительных прав (лицензии) на использование системы автоматизированного сбора и лингвистического анализа данных из сети Интернет</t>
  </si>
  <si>
    <t>273860200254686020100100790005829244</t>
  </si>
  <si>
    <t>Оказание услуг по предоставлению неисключительных прав (лицензии) на использование поисково-аналитической системы для организации мониторинга социальных сетей</t>
  </si>
  <si>
    <t>273860200254686020100100800006202244</t>
  </si>
  <si>
    <t>Оказание услуг по предоставлению сертификатов информационно-технической поддержки интеллектуальной транспортной системы Сургутской городской агломерации</t>
  </si>
  <si>
    <t>273860200254686020100100810006202244</t>
  </si>
  <si>
    <t>273860200254686020100100820006203244</t>
  </si>
  <si>
    <t>273860200254686020100100830005829244</t>
  </si>
  <si>
    <t>273860200254686020100100840006203244</t>
  </si>
  <si>
    <t>273860200254686020100100850006203244</t>
  </si>
  <si>
    <t>Оказание услуг по информационно-технологическому сопровождению программных продуктов, входящих в состав открытой лицензии на предоставление неисключительного права использования программных продуктов для автоматизированного ведения бюджетного (бухгалтерского), кадрового учета и формирования отчетности в органах местного самоуправления, учреждениях городского округа город Сургут Ханты-Мансийского автономного округа – Югры на 2028 год</t>
  </si>
  <si>
    <t>273860200254686020100100880006203244</t>
  </si>
  <si>
    <t>273860200254686020100100900006203244</t>
  </si>
  <si>
    <t>273860200254686020100100920006202244</t>
  </si>
  <si>
    <t>273860200254686020100100930006201244</t>
  </si>
  <si>
    <t>Оказание услуг по настройке интеграции автоматизированной информационной системы обеспечения градостроительной деятельности АИСОГД г. Сургута c государственной информационной системы обеспечения градостроительной деятельности (ГИСОГД) Югры</t>
  </si>
  <si>
    <t>273860200254686020100100940006203244</t>
  </si>
  <si>
    <t>273860200254686020100100960005829244</t>
  </si>
  <si>
    <t>Оказание услуг по продлению неисключительных прав (лицензий) на использование программного обеспечения Testograf</t>
  </si>
  <si>
    <t>273860200254686020100100970005829244</t>
  </si>
  <si>
    <t>Оказание услуг по продлению неисключительных прав на использование программы для ЭВМ «1С-Битрикс24» (Профессиональный)</t>
  </si>
  <si>
    <t>273860200254686020100100980006311244</t>
  </si>
  <si>
    <t>Оказание услуг по предоставлению доступа к информационной системе анализа рынка и компаний</t>
  </si>
  <si>
    <t>273860200254686020100100990006202244</t>
  </si>
  <si>
    <t>273860200254686020100101020006203244</t>
  </si>
  <si>
    <t>273860200254686020100101030005829244</t>
  </si>
  <si>
    <t>Оказание услуг по передаче неисключительных прав на использование электронной базы данных</t>
  </si>
  <si>
    <t>273860200254686020100101060006203244</t>
  </si>
  <si>
    <t>273860200254686020100101080006202244</t>
  </si>
  <si>
    <t>Поставка ключа активации сервиса прямой технической поддержки средств защиты информации АПКШ «Континент»</t>
  </si>
  <si>
    <t>273860200254686020100101100002620244</t>
  </si>
  <si>
    <t>Поставка технических средств</t>
  </si>
  <si>
    <t>283860200254686020100100020002620244</t>
  </si>
  <si>
    <t>283860200254686020100100040002620244</t>
  </si>
  <si>
    <t>283860200254686020100100050001712244</t>
  </si>
  <si>
    <t>283860200254686020100100060002640244</t>
  </si>
  <si>
    <t>283860200254686020100100080007112244</t>
  </si>
  <si>
    <t>283860200254686020100100100006202244</t>
  </si>
  <si>
    <t>283860200254686020100100110006202244</t>
  </si>
  <si>
    <t>283860200254686020100100120006202244</t>
  </si>
  <si>
    <t>283860200254686020100100130006202244</t>
  </si>
  <si>
    <t>283860200254686020100100140005829244</t>
  </si>
  <si>
    <t>283860200254686020100100150006202244</t>
  </si>
  <si>
    <t>283860200254686020100100160005829244</t>
  </si>
  <si>
    <t>283860200254686020100100170007490244</t>
  </si>
  <si>
    <t>283860200254686020100100180007490244</t>
  </si>
  <si>
    <t>283860200254686020100100190007490244</t>
  </si>
  <si>
    <t>283860200254686020100100200007490244</t>
  </si>
  <si>
    <t>283860200254686020100100210007490244</t>
  </si>
  <si>
    <t>283860200254686020100100220005829244</t>
  </si>
  <si>
    <t>283860200254686020100100230005829244</t>
  </si>
  <si>
    <t>283860200254686020100100240006202244</t>
  </si>
  <si>
    <t>283860200254686020100100250006202244</t>
  </si>
  <si>
    <t>283860200254686020100100280005829244</t>
  </si>
  <si>
    <t>283860200254686020100100290005829244</t>
  </si>
  <si>
    <t>283860200254686020100100320005829244</t>
  </si>
  <si>
    <t>283860200254686020100100360006202244</t>
  </si>
  <si>
    <t>283860200254686020100100380002620244</t>
  </si>
  <si>
    <t>МКУ "Дворец торжеств"</t>
  </si>
  <si>
    <t>26 38602179543860201001 0030 000 4932 244</t>
  </si>
  <si>
    <t>27 38602179543860201001 0008 000 8010 244</t>
  </si>
  <si>
    <t>27 38602179543860201001 0009 000 8010 244</t>
  </si>
  <si>
    <t>27 38602179543860201001 0010 000 8020 244</t>
  </si>
  <si>
    <t>27 38602179543860201001 0011 000 4932 244</t>
  </si>
  <si>
    <t>27 38602179543860201001 0012 000 8121 244</t>
  </si>
  <si>
    <t>27 38602179543860201001 0013 000 3313 244</t>
  </si>
  <si>
    <t>Услуги по техническому обслуживанию системы охранного видеонаблюдения</t>
  </si>
  <si>
    <t>27 38602179543860201001 0014 000 8129 244</t>
  </si>
  <si>
    <t>Услуги по уборке прилегающей территории (дворник)</t>
  </si>
  <si>
    <t>27 38602179543860201001 0015 000 8122 244</t>
  </si>
  <si>
    <t>Оказание услуг по уборке крыш, козырьков от снега и обледенений</t>
  </si>
  <si>
    <t>27 38602179543860201001 0019 000 8121 244</t>
  </si>
  <si>
    <t>Услуги по уборке территории от снега (механическая уборка спецтранспортом)</t>
  </si>
  <si>
    <t>28 38602179543860201001 0002 000 8010 244</t>
  </si>
  <si>
    <t>28 38602179543860201001 0003 000 8122 244</t>
  </si>
  <si>
    <t>28 38602179543860201001 0005 000 8121 244</t>
  </si>
  <si>
    <t>МКУ "Наш город"</t>
  </si>
  <si>
    <t>263860206183086020100100870002823244</t>
  </si>
  <si>
    <t>Поставка оригинальных расходных материалов для копировально-множительной техники и периферийного оборудования в 2026 году</t>
  </si>
  <si>
    <t>электронный аукцион</t>
  </si>
  <si>
    <t>263860206183086020100100880003313244</t>
  </si>
  <si>
    <t>Оказание услуг по техническому обслуживанию системы видеонаблюдения</t>
  </si>
  <si>
    <t>273860206183086020100100170008230244</t>
  </si>
  <si>
    <t>Оказание услуг по организации и проведению форума в 2027 году</t>
  </si>
  <si>
    <t>27386020618308602010010018 0005811244</t>
  </si>
  <si>
    <t>Оказание услуг по изготовлению полиграфической продукции в 2027 году</t>
  </si>
  <si>
    <t>273860206183086020100100190001413244</t>
  </si>
  <si>
    <t>Поставка курток зимних 2027</t>
  </si>
  <si>
    <t>273860206183086020100100210007320244</t>
  </si>
  <si>
    <t>Проведение социологического исследования на территории города Сургута в 2027 году</t>
  </si>
  <si>
    <t>273860206183086020100100280002823244</t>
  </si>
  <si>
    <t>Поставка оригинальных расходных материалов для копировально-множительной техники и периферийного оборудования в 2027 году</t>
  </si>
  <si>
    <t>май, 2027</t>
  </si>
  <si>
    <t>283860206183086020100100020005811244</t>
  </si>
  <si>
    <t>Оказание услуг по изготовлению полиграфической продукции в 2028 году</t>
  </si>
  <si>
    <t>283860206183086020100100030001413244</t>
  </si>
  <si>
    <t>Поставка курток зимних 2028</t>
  </si>
  <si>
    <t>283860206183086020100100050002823244</t>
  </si>
  <si>
    <t>Поставка оригинальных расходных материалов для копировально-множительной техники и периферийного оборудования в 2028 году</t>
  </si>
  <si>
    <t>май, 2028</t>
  </si>
  <si>
    <t>283860206183086020100100010008230244</t>
  </si>
  <si>
    <t>Оказание услуг по организации и проведению форума в 2028 году</t>
  </si>
  <si>
    <t>283860206183086020100100040007320244</t>
  </si>
  <si>
    <t>Проведение социологического исследования на территории города Сургута в 2028 году</t>
  </si>
  <si>
    <t>283860206183086020100100190008010244</t>
  </si>
  <si>
    <t>Оказание охранных услуг 2028</t>
  </si>
  <si>
    <t>283860206183086020100100130004932244</t>
  </si>
  <si>
    <t>Оказание услуг по организации перевозок пассажиров и багажа легковым такси в 2028</t>
  </si>
  <si>
    <t>283860206183086020100100060001811244</t>
  </si>
  <si>
    <t>Оказание услуг по печати газеты "Сургутские ведомости" в 2028 году</t>
  </si>
  <si>
    <t>283860206183086020100100220008020244</t>
  </si>
  <si>
    <t>Оказание услуг по техническому обслуживанию систем (средств, установок) обеспечения пожарной безопасности зданий и сооружений для обеспечения муниципальных нужд 2028</t>
  </si>
  <si>
    <t>283860206183086020100100150003313244</t>
  </si>
  <si>
    <t>Оказание услуг по техническому обслуживанию системы видеонаблюдения 2028</t>
  </si>
  <si>
    <t>283860206183086020100100210008121244</t>
  </si>
  <si>
    <t>Оказание услуг по уборке помещений 2028</t>
  </si>
  <si>
    <t>283860206183086020100100160008121244</t>
  </si>
  <si>
    <t>Оказание услуг по уборке прилегающей территории на объекте "Общественный центр в п. Снежный" 2028</t>
  </si>
  <si>
    <t>283860206183086020100100170008121244</t>
  </si>
  <si>
    <t>Оказание услуг по уборке территории от снега (механизированная уборка спецтранспортом) 2028</t>
  </si>
  <si>
    <t>283860206183086020100100070005320244</t>
  </si>
  <si>
    <t>Оказание услуг по доставке газеты "Сургутские ведомости"в 2028 году</t>
  </si>
  <si>
    <t>1</t>
  </si>
  <si>
    <t>МКУ "ХЭУ"</t>
  </si>
  <si>
    <t>263860200338886020100100790001920244</t>
  </si>
  <si>
    <t>Поставка масла моторного</t>
  </si>
  <si>
    <t>2</t>
  </si>
  <si>
    <t>263860200338886020100100810002223244</t>
  </si>
  <si>
    <t>Поставка строительных материалов</t>
  </si>
  <si>
    <t>263860200338886020100100820000000244</t>
  </si>
  <si>
    <t>Поставка спецодежды и других средств индивидуальной защиты</t>
  </si>
  <si>
    <t>263860200338886020100100830002211244</t>
  </si>
  <si>
    <t>Поставка автомобильных шин</t>
  </si>
  <si>
    <t>263860200338886020100100920002812244</t>
  </si>
  <si>
    <t>Поставка цилиндров паровых</t>
  </si>
  <si>
    <t>6</t>
  </si>
  <si>
    <t>263860200338886020100101120008621244</t>
  </si>
  <si>
    <t>Оказание услуг по предрейсовым и послерейсовым медицинским осмотрам</t>
  </si>
  <si>
    <t>7</t>
  </si>
  <si>
    <t>263860200338886020100101140008010244</t>
  </si>
  <si>
    <t>8</t>
  </si>
  <si>
    <t>263860200338886020100101160008129244</t>
  </si>
  <si>
    <t>Оказание услуг по дератизации и дезинсекции в помещениях административных зданий</t>
  </si>
  <si>
    <t>9</t>
  </si>
  <si>
    <t>263860200338886020100101170000000244</t>
  </si>
  <si>
    <t>Оказание услуг по проведению обязательных периодических и обязательных предварительных медицинских осмотров работников</t>
  </si>
  <si>
    <t>ноябрь, 2026</t>
  </si>
  <si>
    <t>10</t>
  </si>
  <si>
    <t>263860200338886020100101200003700247</t>
  </si>
  <si>
    <t>Оказание услуг по откачке, вывозу и передаче на канализование жидких бытовых отходов</t>
  </si>
  <si>
    <t>263860200338886020100101270007112244</t>
  </si>
  <si>
    <t>Выполнение работ по обследованию и инженерных изысканий конструкций здания</t>
  </si>
  <si>
    <t>12</t>
  </si>
  <si>
    <t>263860200338886020100101300009601244</t>
  </si>
  <si>
    <t>Оказание услуг по стирке спецодежды</t>
  </si>
  <si>
    <t>13</t>
  </si>
  <si>
    <t>263860200338886020100101310009601244</t>
  </si>
  <si>
    <t>14</t>
  </si>
  <si>
    <t>263860200338886020100101340008129244</t>
  </si>
  <si>
    <t>Оказание услуг по вывозу снега</t>
  </si>
  <si>
    <t>15</t>
  </si>
  <si>
    <t>263860200338886020100101350000000244</t>
  </si>
  <si>
    <t>Оказание клининговых услуг</t>
  </si>
  <si>
    <t>16</t>
  </si>
  <si>
    <t>263860200338886020100101430003700244</t>
  </si>
  <si>
    <t>Оказание услуг по устранению подпоров канализационных сетей</t>
  </si>
  <si>
    <t>17</t>
  </si>
  <si>
    <t>263860200338886020100101450003312244</t>
  </si>
  <si>
    <t>Оказание услуг по техническому сервисному обслуживанию приборов коммерческого учета и оборудования систем управления тепловодоснабжения здания</t>
  </si>
  <si>
    <t>18</t>
  </si>
  <si>
    <t>263860200338886020100101490003312244</t>
  </si>
  <si>
    <t>Оказание услуг по техническому обслуживанию систем вентиляции, кондиционирования</t>
  </si>
  <si>
    <t>19</t>
  </si>
  <si>
    <t>263860200338886020100101540003312244</t>
  </si>
  <si>
    <t>Оказание услуг по техническому обслуживанию и ремонту рольставен с использованием запасных частей</t>
  </si>
  <si>
    <t>20</t>
  </si>
  <si>
    <t>263860200338886020100101560003312244</t>
  </si>
  <si>
    <t>Оказание услуг по техническому обслуживанию и ремонту кондиционеров с использованием запасных частей</t>
  </si>
  <si>
    <t>21</t>
  </si>
  <si>
    <t>263860200338886020100101570003312244</t>
  </si>
  <si>
    <t>Оказание услуг по техническому обслуживанию аппаратных и программных средств, направленных на ограничение и санкционирование доступа людей, транспорта в (из) помещений, зданий, зон и территорий</t>
  </si>
  <si>
    <t>22</t>
  </si>
  <si>
    <t>263860200338886020100101580003312244</t>
  </si>
  <si>
    <t>23</t>
  </si>
  <si>
    <t>263860200338886020100101630006209244</t>
  </si>
  <si>
    <t>Оказание услуг по эксплуатационно-техническому обслуживанию интегрированного аппаратного комплекса зала заседаний Думы города Сургута</t>
  </si>
  <si>
    <t>273860200338886020100100200001920244</t>
  </si>
  <si>
    <t>273860200338886020100100230002223244</t>
  </si>
  <si>
    <t>273860200338886020100100240000000244</t>
  </si>
  <si>
    <t>273860200338886020100100250002211244</t>
  </si>
  <si>
    <t>273860200338886020100100260001712244</t>
  </si>
  <si>
    <t>апрель, 2027</t>
  </si>
  <si>
    <t>273860200338886020100100270000000244</t>
  </si>
  <si>
    <t>Поставка бумаги и канцелярских товаров</t>
  </si>
  <si>
    <t>273860200338886020100100280001392244</t>
  </si>
  <si>
    <t>Поставка флагов</t>
  </si>
  <si>
    <t>273860200338886020100100290005819244</t>
  </si>
  <si>
    <t>Изготовление и тиражирование полиграфической и печатной продукции</t>
  </si>
  <si>
    <t>273860200338886020100100300001107244</t>
  </si>
  <si>
    <t>Поставка воды питьевой</t>
  </si>
  <si>
    <t>273860200338886020100100310000000244</t>
  </si>
  <si>
    <t>Поставка сантехнических материалов</t>
  </si>
  <si>
    <t>273860200338886020100100320000000244</t>
  </si>
  <si>
    <t>Поставка электроматериалов</t>
  </si>
  <si>
    <t>273860200338886020100100330002823244</t>
  </si>
  <si>
    <t>Поставка оригинальных расходных материалов для копировально-множительной техники и периферийного оборудования</t>
  </si>
  <si>
    <t>273860200338886020100100350004932244</t>
  </si>
  <si>
    <t>Оказание услуг по транспортному обслуживанию (услуги такси)</t>
  </si>
  <si>
    <t>273860200338886020100100370008621244</t>
  </si>
  <si>
    <t>ноябрь, 2027</t>
  </si>
  <si>
    <t>273860200338886020100100390008010244</t>
  </si>
  <si>
    <t>октябрь, 2027</t>
  </si>
  <si>
    <t>273860200338886020100100410008129244</t>
  </si>
  <si>
    <t>273860200338886020100100420000000244</t>
  </si>
  <si>
    <t>273860200338886020100100440003700247</t>
  </si>
  <si>
    <t>273860200338886020100100470009601244</t>
  </si>
  <si>
    <t>273860200338886020100100480008122244</t>
  </si>
  <si>
    <t>Оказание услуг по мойке витражей и окон административных зданий</t>
  </si>
  <si>
    <t>273860200338886020100100490008122244</t>
  </si>
  <si>
    <t>Оказание услуг по уборке крыш, козырьков и отмостки (территории) от снега и обледенений</t>
  </si>
  <si>
    <t>август, 2027</t>
  </si>
  <si>
    <t>273860200338886020100100500008129244</t>
  </si>
  <si>
    <t>273860200338886020100100510000000244</t>
  </si>
  <si>
    <t>24</t>
  </si>
  <si>
    <t>273860200338886020100100540008020244</t>
  </si>
  <si>
    <t>25</t>
  </si>
  <si>
    <t>273860200338886020100100550007120244</t>
  </si>
  <si>
    <t>Оказание услуг по испытанию пожарных кранов и водопроводов</t>
  </si>
  <si>
    <t>26</t>
  </si>
  <si>
    <t>273860200338886020100100560003700244</t>
  </si>
  <si>
    <t>27</t>
  </si>
  <si>
    <t>273860200338886020100100570006209244</t>
  </si>
  <si>
    <t>Оказание услуг по эксплуатационно-техническому обслуживанию интегрированных аппаратных комплексов конференц-систем</t>
  </si>
  <si>
    <t>28</t>
  </si>
  <si>
    <t>273860200338886020100100580003312244</t>
  </si>
  <si>
    <t>29</t>
  </si>
  <si>
    <t>273860200338886020100100600003312244</t>
  </si>
  <si>
    <t>Оказание услуг по техническому обслуживанию оборудования видеоконференцсвязи</t>
  </si>
  <si>
    <t>30</t>
  </si>
  <si>
    <t>273860200338886020100100610003312244</t>
  </si>
  <si>
    <t>Оказание услуг по техническому обслуживанию арочных металлодетекторов</t>
  </si>
  <si>
    <t>31</t>
  </si>
  <si>
    <t>273860200338886020100100620003312244</t>
  </si>
  <si>
    <t>32</t>
  </si>
  <si>
    <t>273860200338886020100100630003312244</t>
  </si>
  <si>
    <t>Оказание услуг по техническому обслуживанию подъемно-транспортного оборудования</t>
  </si>
  <si>
    <t>33</t>
  </si>
  <si>
    <t>273860200338886020100100640007120244</t>
  </si>
  <si>
    <t>Оказание услуг по проведению технического освидетельствования и электроизмерительных работ подъемно-транспортного оборудования</t>
  </si>
  <si>
    <t>34</t>
  </si>
  <si>
    <t>273860200338886020100100650003312244</t>
  </si>
  <si>
    <t>Оказание услуг по техническому обслуживанию и ремонту систем кондиционирования с использованием запасных частей</t>
  </si>
  <si>
    <t>35</t>
  </si>
  <si>
    <t>273860200338886020100100660003312244</t>
  </si>
  <si>
    <t>36</t>
  </si>
  <si>
    <t>273860200338886020100100670003312244</t>
  </si>
  <si>
    <t>37</t>
  </si>
  <si>
    <t>273860200338886020100100690003314244</t>
  </si>
  <si>
    <t>Оказание услуг по техническому обслуживанию и ремонту дизель - генераторов с использованием запасных частей</t>
  </si>
  <si>
    <t>38</t>
  </si>
  <si>
    <t>273860200338886020100100700003312244</t>
  </si>
  <si>
    <t>39</t>
  </si>
  <si>
    <t>273860200338886020100100710003312244</t>
  </si>
  <si>
    <t>40</t>
  </si>
  <si>
    <t>273860200338886020100100720004520244</t>
  </si>
  <si>
    <t>Оказание услуг по техническому обслуживанию и ремонту автотранспортных средств и спецтехники с использованием запасных частей и расходных материалов</t>
  </si>
  <si>
    <t>41</t>
  </si>
  <si>
    <t>273860200338886020100100730006209244</t>
  </si>
  <si>
    <t>283860200338886020100100010001920244</t>
  </si>
  <si>
    <t>июнь, 2028</t>
  </si>
  <si>
    <t>283860200338886020100100040002223244</t>
  </si>
  <si>
    <t>283860200338886020100100050000000244</t>
  </si>
  <si>
    <t>апрель, 2028</t>
  </si>
  <si>
    <t>283860200338886020100100060002211244</t>
  </si>
  <si>
    <t>283860200338886020100100070001712244</t>
  </si>
  <si>
    <t>283860200338886020100100080000000244</t>
  </si>
  <si>
    <t>283860200338886020100100090001392244</t>
  </si>
  <si>
    <t>283860200338886020100100100005819244</t>
  </si>
  <si>
    <t>283860200338886020100100110001107244</t>
  </si>
  <si>
    <t>283860200338886020100100120000000244</t>
  </si>
  <si>
    <t>283860200338886020100100130000000244</t>
  </si>
  <si>
    <t>283860200338886020100100140002823244</t>
  </si>
  <si>
    <t>283860200338886020100100150004932244</t>
  </si>
  <si>
    <t>283860200338886020100100170008129244</t>
  </si>
  <si>
    <t>283860200338886020100100180008122244</t>
  </si>
  <si>
    <t>283860200338886020100100190007120244</t>
  </si>
  <si>
    <t>283860200338886020100100200007120244</t>
  </si>
  <si>
    <t>283860200338886020100100210003312244</t>
  </si>
  <si>
    <t>МКУ "Муниципальный архив города Сургута"</t>
  </si>
  <si>
    <t>263860230066286020100100030000000244</t>
  </si>
  <si>
    <t>Услуги по уборке помещений и крыльца</t>
  </si>
  <si>
    <t>электронынй аукцион</t>
  </si>
  <si>
    <t>ноябрь,  2026</t>
  </si>
  <si>
    <t>МКУ "ЛПХ"</t>
  </si>
  <si>
    <t>263860200333186020100101380007112244</t>
  </si>
  <si>
    <t>Выполнение проектно-изыскательских работ по благоустройству сквера "Молодежный"</t>
  </si>
  <si>
    <t>запрос котировок в электронной форме</t>
  </si>
  <si>
    <t>июль,2026</t>
  </si>
  <si>
    <t>263860200333186020100101480008129244</t>
  </si>
  <si>
    <t>Оказание услуг по уборке территорий общего пользования от листвы(под грабли)</t>
  </si>
  <si>
    <t>263860200333186020100101490003101244</t>
  </si>
  <si>
    <t>Поставка скамеек (крутящихся,не крутящихся)</t>
  </si>
  <si>
    <t>263860200333186020100101630008129244</t>
  </si>
  <si>
    <t>Оказание услуг по уборке территорий зеленых зон в границах красных линий улиц города Сургута от опавшей листвы(под грабли)</t>
  </si>
  <si>
    <t>263860200333186020100101560008129244</t>
  </si>
  <si>
    <t>Оказание услуг по уборке территорий общего пользования от прошлогодней листвы(под грабли)</t>
  </si>
  <si>
    <t>263860200333186020100101570008129244</t>
  </si>
  <si>
    <t>Оказание услуг по обслуживанию автономных модульных туалетов</t>
  </si>
  <si>
    <t>август,2026</t>
  </si>
  <si>
    <t>263860200333186020100101620004321244</t>
  </si>
  <si>
    <t>Выполнение работ по устройству наружного освещения:"Наружное освещение сквера,расположенного по проезду Первопроходцев,25 микрорайон в г.Сургуте,ХМАО-Югра"</t>
  </si>
  <si>
    <t>273860200333186020100100870000240244</t>
  </si>
  <si>
    <t>Выполнение работ по санитарным рубкам и рубкам по очистке леса от захламленности</t>
  </si>
  <si>
    <t>февраль,2027</t>
  </si>
  <si>
    <t>273860200333186020100100880008130244</t>
  </si>
  <si>
    <t>Выполнение работ по созданию и содержанию цветников  на территории города Сургута</t>
  </si>
  <si>
    <t>март,2027</t>
  </si>
  <si>
    <t>273860200333186020100100890008130244</t>
  </si>
  <si>
    <t>Выполнение работ по кошению газонов</t>
  </si>
  <si>
    <t>273860200333186020100100910000210244</t>
  </si>
  <si>
    <t>Выполнение работ по уходу за саженцами кустарника на территориях общего пользования города Сургута</t>
  </si>
  <si>
    <t>273860200333186020100100920003312244</t>
  </si>
  <si>
    <t>Оказание услуг по техническому обслуживанию внутренних и наружных инженерных сетей и узлов коммерческого учета</t>
  </si>
  <si>
    <t>273860200333186020100100940000000244</t>
  </si>
  <si>
    <t>Оказание услуг по  техническому обслуживанию и заправке сжиженным  газом групповой резервуарной  установки  №1 «Вечный огонь" на "Мемориале Славы" в г. Сургуте</t>
  </si>
  <si>
    <t>273860200333186020100100950008010244</t>
  </si>
  <si>
    <t>273860200333186020100100970008010244</t>
  </si>
  <si>
    <t>273860200333186020100100980008129244</t>
  </si>
  <si>
    <t>Оказание услуг по обеспечению мест отдыха у воды туалетными кабинами и их текущему содержанию</t>
  </si>
  <si>
    <t>273860200333186020100100990003811244</t>
  </si>
  <si>
    <t>Оказание услуг по уборке  мест несанкционированного размещения отработанных автомобильных шин</t>
  </si>
  <si>
    <t>273860200333186020100101020000000244</t>
  </si>
  <si>
    <t>Поставка смывающих и обезвреживающих средств</t>
  </si>
  <si>
    <t>273860200333186020100101030000210244</t>
  </si>
  <si>
    <t>Поставка саженцев деревьев и кустарников</t>
  </si>
  <si>
    <t>273860200333186020100101040004520244</t>
  </si>
  <si>
    <t>Оказание услуг по техническому обслуживанию и ремонту автотранспортных средств для обеспечения муниципальных нужд</t>
  </si>
  <si>
    <t>273860200333186020100101100008129244</t>
  </si>
  <si>
    <t>Оказание услуг по  зимнему содержание пешеходных дорожек, площадок на территориях общего пользования в городе Сургуте</t>
  </si>
  <si>
    <t>273860200333186020100101110008129244</t>
  </si>
  <si>
    <t>Оказание услуг по  содержанию скверов,парков на территории г.Сургута</t>
  </si>
  <si>
    <t>273860200333186020100101120008129244</t>
  </si>
  <si>
    <t>Оказание услуг  по содержанию детских игровых и спортивных площадок  на территориях общего пользования города Сургута</t>
  </si>
  <si>
    <t>273860200333186020100101130008621244</t>
  </si>
  <si>
    <t>Оказание услуг по проведению предварительных  медицинских осмотров работников</t>
  </si>
  <si>
    <t>283860200333186020100100080000240244</t>
  </si>
  <si>
    <t>январь,2028</t>
  </si>
  <si>
    <t>283860200333186020100100090008130244</t>
  </si>
  <si>
    <t>283860200333186020100100100008130244</t>
  </si>
  <si>
    <t>283860200333186020100100110008129244</t>
  </si>
  <si>
    <t>283860200333186020100100120000210244</t>
  </si>
  <si>
    <t>283860200333186020100100130003312244</t>
  </si>
  <si>
    <t>283860200333186020100100140008129244</t>
  </si>
  <si>
    <t>283860200333186020100100150000000244</t>
  </si>
  <si>
    <t>283860200333186020100100160008010244</t>
  </si>
  <si>
    <t>283860200333186020100100180008010244</t>
  </si>
  <si>
    <t>283860200333186020100100190008129244</t>
  </si>
  <si>
    <t>февраль,2028</t>
  </si>
  <si>
    <t>283860200333186020100100200003811244</t>
  </si>
  <si>
    <t>283860200333186020100100230000000244</t>
  </si>
  <si>
    <t>283860200333186020100100240000210244</t>
  </si>
  <si>
    <t>283860200333186020100100250004520244</t>
  </si>
  <si>
    <t>283860200333186020100100310008129244</t>
  </si>
  <si>
    <t>283860200333186020100100320008129244</t>
  </si>
  <si>
    <t>март,2028</t>
  </si>
  <si>
    <t>283860200333186020100100330008129244</t>
  </si>
  <si>
    <t>283860200333186020100100340008621244</t>
  </si>
  <si>
    <t>МКУ "ДДТиЖКК"</t>
  </si>
  <si>
    <t>26 38602000411860201001 0047 000 4211 244</t>
  </si>
  <si>
    <t>Ремонт коллекторов системы ливневой канализации</t>
  </si>
  <si>
    <t xml:space="preserve">Электронный аукцион </t>
  </si>
  <si>
    <t>26 38602000411860201001 0112 000 2920 244</t>
  </si>
  <si>
    <t>Поставка, сборка, установка шкафов накопления ТКО</t>
  </si>
  <si>
    <t>Запрос котировок</t>
  </si>
  <si>
    <t>26 38602000411860201001 0119 000 4221 244</t>
  </si>
  <si>
    <t>Ремонт объекта: "Коллектор железобетонный Ду-800 по ул. Ленинградская, 7"</t>
  </si>
  <si>
    <t>26 38602000411860201001 0116 000 4399 244</t>
  </si>
  <si>
    <t>Ремонт объекта: «Восстановление подземного газопровода Ду-219 мм. Сети газопровода ул. Ивана Захарова на участках: от ул. Университетской до проспекта Пролетарский; от 30 лет победы до ул. Университетской; от 30 лет Победы до ул. Университетской, от ул. Университетской до проспекта Пролетарского»</t>
  </si>
  <si>
    <t>26 38602000411860201001 0073 000 8129 244</t>
  </si>
  <si>
    <t>Оказание услуг по уборке прилегающей территории административного здания ул. 30 лет Победы, д.17, ул. Промышленная, д.12/2.</t>
  </si>
  <si>
    <t>26 38602000411860201001 0026 000 2223 244</t>
  </si>
  <si>
    <t>Поставка и установка пластиковых  евроконтейнеров без крышки на колесах 1100 л для накопления твердых коммунальных отходов</t>
  </si>
  <si>
    <t>26 38602000411860201001 0072 000 8121 244</t>
  </si>
  <si>
    <t>Санитарное содержание и обслуживание административных и бытовых помещений ул. 30 лет Победы, 17, ул. Промышленная 12/2</t>
  </si>
  <si>
    <t>26 38602000411860201001 0070 000 9609 244</t>
  </si>
  <si>
    <t>Обеспечение биотуалетами общегородских праздничных мероприятий</t>
  </si>
  <si>
    <t>26 38602000411860201001 0075 000 3711 244</t>
  </si>
  <si>
    <t>Оказание услуг по сбору, транспортированию, утилизации, обезвреживанию, размещению отходов, не относящихся к твердым коммунальным</t>
  </si>
  <si>
    <t>26 38602000411860201001 0068 000 4932 244</t>
  </si>
  <si>
    <t>Оказание услуг по организации перевозок пассажиров и багажа легковыми такси</t>
  </si>
  <si>
    <t>26 38602000411860201001 0067 000 4932 244</t>
  </si>
  <si>
    <t>Оказание автотранспортных услуг (легковой автотранспорт)</t>
  </si>
  <si>
    <t>26 38602000411860201001 0074 000 3822 244</t>
  </si>
  <si>
    <t>Оказание услуг по сбору, транспортированию и утилизации отходов, не относящихся к твердым коммунальным</t>
  </si>
  <si>
    <t>26 38602000411860201001 0076 000 8129 244</t>
  </si>
  <si>
    <t>Дезинфекция, дератизация и дезинсекция площадок накопления твердых коммунальных отходов</t>
  </si>
  <si>
    <t>26 38602000411860201001 0041 000 71209 244</t>
  </si>
  <si>
    <t>Инструментальная диагностика (оценка технического состояния) улично-дорожной сети муниципального образования Сургут</t>
  </si>
  <si>
    <t>26 38602000411860201001 0066 000 8129 244</t>
  </si>
  <si>
    <t>Оказание услуг по содержанию мест (площадок) накопления твердых коммунальных отходов садоводческих товариществ</t>
  </si>
  <si>
    <t>26 38602000411860201001 0065 000 8129 244</t>
  </si>
  <si>
    <t>Оказание услуг по содержанию мест (площадок) накопления твердых коммунальных отходов</t>
  </si>
  <si>
    <t>27 38602000411860201001 0027 000 4299 244</t>
  </si>
  <si>
    <t>Поставка, сборка, установка шкафов накопления твердых коммунальных отходов</t>
  </si>
  <si>
    <t>27 38602000411860201001 0006 000 1812 244</t>
  </si>
  <si>
    <t>Изготовление и установка (замена) маршрутных указателей (информационных аппликаций) на остановочных пунктах общественного транспорта г.Сургута</t>
  </si>
  <si>
    <t>27 38602000411860201001 0045 000 4211 244</t>
  </si>
  <si>
    <t>Выполнение работ по восстановлению покрытий и малых архитектурных форм</t>
  </si>
  <si>
    <t>27 38602000411860201001 0043 000 4211 244</t>
  </si>
  <si>
    <t>Содержание проездов к жилым строениям  в поселках города</t>
  </si>
  <si>
    <t>27 38602000411860201001 0025 000 8129 244</t>
  </si>
  <si>
    <t>Промывка и дезинфекция контейнеров для накопления твердых коммунальных отходов</t>
  </si>
  <si>
    <t>27 38602000411860201001 0024 000 8121 244</t>
  </si>
  <si>
    <t>27 38602000411860201001 0035 000 9609 244</t>
  </si>
  <si>
    <t>27 38602000411860201001 0030 000 3811 244</t>
  </si>
  <si>
    <t>27 38602000411860201001 0018 000 4932 244</t>
  </si>
  <si>
    <t>Оказание услуг по организации перевозок пассажиров и багажа легковыми такси в 2028 году</t>
  </si>
  <si>
    <t>27 38602000411860201001 0002 000 1812 244</t>
  </si>
  <si>
    <t>27 38602000411860201001 0032 000 8129 244</t>
  </si>
  <si>
    <t>27 38602000411860201001 0031 000 8129 244</t>
  </si>
  <si>
    <t>27 38602000411860201001 0034 000 4932 244</t>
  </si>
  <si>
    <t>Оказание автотранспортных услуг на 2028 год (легковой автотранспорт).</t>
  </si>
  <si>
    <t>27 38602000411860201001 0029 000 3822 244</t>
  </si>
  <si>
    <t>27 38602000411860201001 0037 000 8010 244</t>
  </si>
  <si>
    <t>Защита объектов транспортной инфраструктуры (ОТИ) от актов незаконного вмешательства с привлечением подразделения транспортной безопасности</t>
  </si>
  <si>
    <t>27 38602000411860201001 0036 000 8425 244</t>
  </si>
  <si>
    <t>Выполнение работ по противопаводковым мероприятиям в жилом секторе на территории г. Сургута</t>
  </si>
  <si>
    <t>28 38602000411860201001 0011 000 2223 244</t>
  </si>
  <si>
    <t>28 38602000411860201001 0012 000 4299 244</t>
  </si>
  <si>
    <t>28 38602000411860201001 0014 000 7120 244</t>
  </si>
  <si>
    <t>28 38602000411860201001 0019 000 4211 244</t>
  </si>
  <si>
    <t>28 38602000411860201001 0010 000 8129 244</t>
  </si>
  <si>
    <t>28 38602000411860201001 0018 000 4211 244</t>
  </si>
  <si>
    <t>МКУ "Ритуал"</t>
  </si>
  <si>
    <t>263860228535886020100100040003600247</t>
  </si>
  <si>
    <t>Оказание услуг по подвозу воды на Крематорий.</t>
  </si>
  <si>
    <t>263860228535886020100100050003700247</t>
  </si>
  <si>
    <t>Оказание услуг по откачке и транспортировке жидких бытовых отходов</t>
  </si>
  <si>
    <t>263860228535886020100100080003312244</t>
  </si>
  <si>
    <t>Оказание услуг по техническому обслуживанию и ремонту кремационной линии чешского производства TABO CS</t>
  </si>
  <si>
    <t>263860228535886020100100100007490244</t>
  </si>
  <si>
    <t>Оказание услуг аутсорсинга в области охраны труда</t>
  </si>
  <si>
    <t>263860228535886020100100150009603244</t>
  </si>
  <si>
    <t>Оказание услуг по содержанию территории кладбищ муниципального образования городской округ Сургут Ханты-Мансийского автономного округа-Югры</t>
  </si>
  <si>
    <t>263860228535886020100100160004211244</t>
  </si>
  <si>
    <t>Оказание услуг по содержанию дорог и проездов  кладбищ муниципального образования городской округ Сургут ХМАО –Югры</t>
  </si>
  <si>
    <t>263860228535886020100100170009603244</t>
  </si>
  <si>
    <t>Оказание услуг по содержанию территории закрытых кладбищ муниципального образования городской округ Сургут Ханты-Мансийского автономного округа - Югры</t>
  </si>
  <si>
    <t>2638602285358860201001001800081293244</t>
  </si>
  <si>
    <t>Оказание услуг по обслуживанию автономных модульных туалетов на территории городского кладбища г. Сургута</t>
  </si>
  <si>
    <t>263860228535886020100100190001920244</t>
  </si>
  <si>
    <t>Поставка дизельного топлива (товар необходимый для нормального жизнеобеспечения)</t>
  </si>
  <si>
    <t>263860228535886020100100210008121244</t>
  </si>
  <si>
    <t>263860228535886020100100250000000244</t>
  </si>
  <si>
    <t>Поставка блочно-модульного крематория с кремационной линией</t>
  </si>
  <si>
    <t>263860228535886020100100240002599244</t>
  </si>
  <si>
    <t>Изготовление и поставка информационных табличек</t>
  </si>
  <si>
    <t>273860228535886020100100010009603244</t>
  </si>
  <si>
    <t>Оказание услуг по перевозке гроба с телом умершего от патологоанатомического отделения (морга) до места погребения в рамках гарантированного перечня услуг по погребению</t>
  </si>
  <si>
    <t>273860228535886020100100020004932244</t>
  </si>
  <si>
    <t>273860228535886020100100040003600247</t>
  </si>
  <si>
    <t>273860228535886020100100050003700247</t>
  </si>
  <si>
    <t>273860228535886020100100080003312244</t>
  </si>
  <si>
    <t>273860228535886020100100090008129244</t>
  </si>
  <si>
    <t>Оказание услуг по зимней механизированной уборке территории</t>
  </si>
  <si>
    <t>273860228535886020100100100007490244</t>
  </si>
  <si>
    <t>273860228535886020100100110008010244</t>
  </si>
  <si>
    <t>273860228535886020100100120009603244</t>
  </si>
  <si>
    <t>Оказание услуг по копке могил и погребению умерших</t>
  </si>
  <si>
    <t>273860228535886020100100130000000244</t>
  </si>
  <si>
    <t>273860228535886020100100150009603244</t>
  </si>
  <si>
    <t>273860228535886020100100160004211244</t>
  </si>
  <si>
    <t>273860228535886020100100170009603244</t>
  </si>
  <si>
    <t>2738602285358860201001001800081293244</t>
  </si>
  <si>
    <t>273860228535886020100100190001920244</t>
  </si>
  <si>
    <t>273860228535886020100100200008010244</t>
  </si>
  <si>
    <t>273860228535886020100100210008121244</t>
  </si>
  <si>
    <t>283860228535886020100100010008129244</t>
  </si>
  <si>
    <t>май 2028</t>
  </si>
  <si>
    <t>283860228535886020100100020000000244</t>
  </si>
  <si>
    <t>МКУ "ДЭАЗиИС"</t>
  </si>
  <si>
    <t>263860200306786020100100600004120243</t>
  </si>
  <si>
    <t>Капитальный ремонт по обеспечению доступности МГН и ремонт помещений санузла на 1 этаже в здании МБДОУ №4 "Умка"</t>
  </si>
  <si>
    <t>263860200306786020100101230007112243</t>
  </si>
  <si>
    <t>Разработка проектной и рабочей документации по объекту: "Обеспечение доступности МГН и ремонт помещений санузла на 1 этаже в здании МКУ "ДЭАЗиИС" г. Сургут, Андреевский заезд, 6"</t>
  </si>
  <si>
    <t>263860200306786020100101030007112243</t>
  </si>
  <si>
    <t>Разработка проектной и рабочей документации по объекту:" Капитальный ремонт здания "МБУК "Централизованная библиотечная система", Центральная детская библиотека"</t>
  </si>
  <si>
    <t>263860200306786020100101040007112243</t>
  </si>
  <si>
    <t>Разработка проектной и рабочей документации по объекту: "Капитальный ремонт системы вентиляции и кондиционирования МБУК "Сургутский краеведческий музей", Музейный центр"</t>
  </si>
  <si>
    <t>263860200306786020100101050007112243</t>
  </si>
  <si>
    <t>Разработка проектной и рабочей документации по объекту: Капитальный ремонт здания МАУ "Многофункциональный культурно-досуговый центр" галерея современного искусства "Стерх"</t>
  </si>
  <si>
    <t>263860200306786020100100630007112243</t>
  </si>
  <si>
    <t>Разработка проектной и рабочей документации по объекту: "Капитальный ремонт здания МБДОУ № 56 "Искорка"</t>
  </si>
  <si>
    <t>263860200306786020100101090007112243</t>
  </si>
  <si>
    <t>Разработка проектной и рабочей документации по объекту: "Капитальный ремонт корта МБУ Центр физической подготовки "Надежда", универсальная спортивная площадка"</t>
  </si>
  <si>
    <t>263860200306786020100101100007112243</t>
  </si>
  <si>
    <t>Разработка проектной и рабочей документации по объекту: "Капитальный ремонт корта МБУ Центр физической подготовки "Надежда",  спортивная площадка"</t>
  </si>
  <si>
    <t>263860200306786020100101110007112243</t>
  </si>
  <si>
    <t>Разработка проектной и рабочей документации по объекту: "Капитальный ремонт корта МБУ Центр физической подготовки "Надежда",  хоккейный корт "Старт"</t>
  </si>
  <si>
    <t>263860200306786020100101130007112243</t>
  </si>
  <si>
    <t>Разработка проектной и рабочей документации по объекту: "Капитальный ремонт здания МБУ ДО СШОР "Ермак", СОК "Энергетик"</t>
  </si>
  <si>
    <t>263860200306786020100101140007112243</t>
  </si>
  <si>
    <t>Разработка проектной и рабочей документации по объекту: "Капитальный ремонт кровли , крылец и отмостки здания МБУ ДО СШОР  по зимним видам спорта "Кедр", база "Олимпия"</t>
  </si>
  <si>
    <t>263860200306786020100101700004391243</t>
  </si>
  <si>
    <t>Капитальный ремонт террасы (балкона) здания МКУ «Дворец торжеств»</t>
  </si>
  <si>
    <t>263860200306786020100101690007112243</t>
  </si>
  <si>
    <t>Разработка проектной и рабочей документации по объекту: «Капитальный ремонт цокольной части фасада, крылец здания и благоустройство территории МАУ «Сургутская филармония»</t>
  </si>
  <si>
    <t>263860200306786020100101600002620244</t>
  </si>
  <si>
    <t>Поставка расходных материалов и запасных частей копировально-множительной техники</t>
  </si>
  <si>
    <t>263860200306786020100101570004339244</t>
  </si>
  <si>
    <t>Ремонт входной группы центрального крыльца МБУДО «ДШИ им. Г. Кукуевицкого»</t>
  </si>
  <si>
    <t>263860200306786020100101580004339244</t>
  </si>
  <si>
    <t>Ремонт учебных кабинетов МБУДО "Детская музыкальная школа №3"</t>
  </si>
  <si>
    <t>263860200306786020100101530004339244</t>
  </si>
  <si>
    <t>Ремонт спортивного зала МБОУ гимназия № 2</t>
  </si>
  <si>
    <t>263860200306786020100101650004339244</t>
  </si>
  <si>
    <t>Выполнение ремонтных работ в детских дошкольных учреждениях (подключение посудомоечных машин)</t>
  </si>
  <si>
    <t>июнь 2026</t>
  </si>
  <si>
    <t>263860200306786020100101680004339244</t>
  </si>
  <si>
    <t>Ремонт крыльца клуба-кафе "Собеседник"</t>
  </si>
  <si>
    <t>263860200306786020100100500004932244</t>
  </si>
  <si>
    <t>Оказание автотранспортных услуг в 2027 году (легковой автотранспорт)</t>
  </si>
  <si>
    <t>263860200306786020100100510004939244</t>
  </si>
  <si>
    <t>Оказание автотранспортных услуг на 2027 год (микроавтобусы)</t>
  </si>
  <si>
    <t>263860200306786020100100520004932244</t>
  </si>
  <si>
    <t>263860200306786020100100560008121244</t>
  </si>
  <si>
    <t>263860200306786020100100570008010244</t>
  </si>
  <si>
    <t>Оказание охранных услуг на 2026-2027 годы</t>
  </si>
  <si>
    <t>273860200306786020100100190004339244</t>
  </si>
  <si>
    <t>Ремонт внутренних помещений МБДОУ №4 "Умка"</t>
  </si>
  <si>
    <t>273860200306786020100100200004339244</t>
  </si>
  <si>
    <t>Ремонт санитарных узлов МБДОУ №78 "Ивушка"</t>
  </si>
  <si>
    <t>273860200306786020100100210004339244</t>
  </si>
  <si>
    <t>Ремонтные работы в дошкольных учреждениях</t>
  </si>
  <si>
    <t>273860200306786020100100220004339244</t>
  </si>
  <si>
    <t>Текущий ремонт системы пожаротушения</t>
  </si>
  <si>
    <t>273860200306786020100100230004339244</t>
  </si>
  <si>
    <t>Текущий ремонт системы вентиляции</t>
  </si>
  <si>
    <t>273860200306786020100100240004339244</t>
  </si>
  <si>
    <t>Текущий ремонт системы теплоснабжения</t>
  </si>
  <si>
    <t>273860200306786020100100250004120243</t>
  </si>
  <si>
    <t>Капитальный ремонт фасада, крылец, кровли МБОУ СОШ №7 *</t>
  </si>
  <si>
    <t>273860200306786020100100260004120243</t>
  </si>
  <si>
    <t>Капитальный ремонт внутренних помещений МБОУ СОШ № 32 *</t>
  </si>
  <si>
    <t>273860200306786020100100270007112243</t>
  </si>
  <si>
    <t>Разработка проектной и рабочей документации по объекту:  "Капитальный ремонт здания   МБОУ СШ № 12"</t>
  </si>
  <si>
    <t>273860200306786020100100280007112243</t>
  </si>
  <si>
    <t>Разработка проектной и рабочей документации по объекту: "Капитальный ремонт системы вентиляции МБОУ СОШ №22 имени Геннадия Федотовича Пономарева"</t>
  </si>
  <si>
    <t>273860200306786020100100290007112243</t>
  </si>
  <si>
    <t>Разработка проектной и рабочей документации по объекту: "Капитальный ремонт спортзала МБОУ СОШ №45"</t>
  </si>
  <si>
    <t>273860200306786020100100860004339244</t>
  </si>
  <si>
    <t>Ремонтные работы 
в общеобразовательных учреждениях</t>
  </si>
  <si>
    <t>273860200306786020100100870004339244</t>
  </si>
  <si>
    <t>Ремонт внутренних помещений МБОУ СОШ № 18 им. В.Я. Алексеева</t>
  </si>
  <si>
    <t>273860200306786020100100880004339244</t>
  </si>
  <si>
    <t>Текущий ремонт кровли, фасада здания МБУ историко-культурный центр "Старый Сургут", ремонт строения №20</t>
  </si>
  <si>
    <t>273860200306786020100100890004339244</t>
  </si>
  <si>
    <t>Ремонтные работы МБУ ИКЦ "Старый Сургут"</t>
  </si>
  <si>
    <t>273860200306786020100100910004120243</t>
  </si>
  <si>
    <t>Капитальный ремонт фасада, кровли МБУ ДО СШОР по зимним видам спорта "Кедр", база "Олимпия"</t>
  </si>
  <si>
    <t>273860200306786020100100920004339244</t>
  </si>
  <si>
    <t>Ремонтные работы МКУ "Наш город"</t>
  </si>
  <si>
    <t>273860200306786020100100930004221243</t>
  </si>
  <si>
    <t>Капитальный ремонт наружных сетей тепловодоснабжения МБДОУ №37 «Колокольчик»</t>
  </si>
  <si>
    <t>273860200306786020100100940007112243</t>
  </si>
  <si>
    <t>Разработка проектной и рабочей документации по объекту: «Капитальный ремонт наружных сетей тепловодоснабжения МБОУ СОШ № 5»</t>
  </si>
  <si>
    <t>273860200306786020100100950004321244</t>
  </si>
  <si>
    <t>Текущий ремонт внутренних сетей освещения МБУ "Вариант"</t>
  </si>
  <si>
    <t>273860200306786020100100960004120243</t>
  </si>
  <si>
    <t>Капитальный ремонт по обеспечению доступности МГН и ремонт помещений санузла на 1 этаже в здании МКУ "ДЭАЗиИС" г. Сургут, Андреевский заезд, 6</t>
  </si>
  <si>
    <t>273860200306786020100100100004932244</t>
  </si>
  <si>
    <t>Оказание автотранспортных услуг в 2028 году (легковой автотранспорт)</t>
  </si>
  <si>
    <t>октябрь 2027</t>
  </si>
  <si>
    <t>273860200306786020100100110004939244</t>
  </si>
  <si>
    <t>Оказание автотранспортных услуг на 2028 год (микроавтобусы)</t>
  </si>
  <si>
    <t>273860200306786020100100130004932244</t>
  </si>
  <si>
    <t>273860200306786020100100170008121244</t>
  </si>
  <si>
    <t>273860200306786020100100180008010244</t>
  </si>
  <si>
    <t>Оказание охранных услуг на 2027-2028 годы</t>
  </si>
  <si>
    <t>283860200306786020100100010007112243</t>
  </si>
  <si>
    <t>Разработка проектной и рабочей документации по объекту: «Капитальный ремонт здания МБДОУ № 14 "Брусничка»</t>
  </si>
  <si>
    <t>283860200306786020100100020004339244</t>
  </si>
  <si>
    <t>Замена дверных блоков МБДОУ № 4 "Умка"</t>
  </si>
  <si>
    <t>283860200306786020100100030004339244</t>
  </si>
  <si>
    <t>Ремонт внутренних помещений МБДОУ №28 "Калинка"</t>
  </si>
  <si>
    <t>283860200306786020100100040004339244</t>
  </si>
  <si>
    <t>Ремонтные работы МБДОУ №34 "Березка"</t>
  </si>
  <si>
    <t>283860200306786020100100050004339244</t>
  </si>
  <si>
    <t>Ремонт внутренних помещений в дошкольных учреждениях</t>
  </si>
  <si>
    <t>283860200306786020100100060004339244</t>
  </si>
  <si>
    <t>Ремонт внутренних помещений МБДОУ №44 "Сибирячок"</t>
  </si>
  <si>
    <t>283860200306786020100100070004332244</t>
  </si>
  <si>
    <t>Ремонт оконных блоков МБДОУ № 61 "Лель"</t>
  </si>
  <si>
    <t>283860200306786020100100080004339244</t>
  </si>
  <si>
    <t>283860200306786020100100090004339244</t>
  </si>
  <si>
    <t>283860200306786020100100100004339244</t>
  </si>
  <si>
    <t>283860200306786020100100110004120243</t>
  </si>
  <si>
    <t>Капитальный ремонт системы вентиляции МБОУ СОШ №22 имени Геннадия Федотовича Пономарева *</t>
  </si>
  <si>
    <t>283860200306786020100100120004120243</t>
  </si>
  <si>
    <t>283860200306786020100100130004120243</t>
  </si>
  <si>
    <t>Капитальный ремонт помещений пищеблока МБОУ лицей имени генерал-майора Хисматулина В.И. *</t>
  </si>
  <si>
    <t>283860200306786020100100140004339244</t>
  </si>
  <si>
    <t>Ремонт внутренних помещений в образовательных учреждениях</t>
  </si>
  <si>
    <t>283860200306786020100100150004339244</t>
  </si>
  <si>
    <t>283860200306786020100100160004339244</t>
  </si>
  <si>
    <t>Ремонтные работы МБУК "Сургутский краеведческий музей"</t>
  </si>
  <si>
    <t>283860200306786020100100170004321244</t>
  </si>
  <si>
    <t>283860200306786020100100190004339244</t>
  </si>
  <si>
    <t>Ремонтные работы МБУ ДО СШОР №1</t>
  </si>
  <si>
    <t>283860200306786020100100200004339244</t>
  </si>
  <si>
    <t>283860200306786020100100210004221243</t>
  </si>
  <si>
    <t>Капитальный ремонт наружных сетей тепловодоснабжения МБОУ СОШ № 5 *</t>
  </si>
  <si>
    <t>Итого предусмотрено на осуществление закупок на первый год планового периода по МБУК "ЦБС"</t>
  </si>
  <si>
    <t>Итого предусмотрено на осуществление закупок в текущем году по МБУК "СКМ"</t>
  </si>
  <si>
    <t>Итого предусмотрено на осуществление закупок на первый год планового периода по МБУК "СКМ"</t>
  </si>
  <si>
    <t>Итого предусмотрено на осуществление закупок в текущем году по МБУ ИКЦ "Старый Сургут"</t>
  </si>
  <si>
    <t>Итого предусмотрено на осуществление закупок на первый год планового периода по МБУ ИКЦ "Старый Сургут"</t>
  </si>
  <si>
    <t>Итого предусмотрено на осуществление закупок на второй год планового периода по МБУ ИКЦ "Старый Сургут"</t>
  </si>
  <si>
    <t>Итого предусмотрено на осуществление закупок в текущем году по МБУДО «ДШИ им. Г. Кукуевицкого»</t>
  </si>
  <si>
    <t>Итого предусмотрено на осуществление закупок в текущем году по МБУДО "ДШИ № 1"</t>
  </si>
  <si>
    <t>Итого предусмотрено на осуществление закупок на первый год планового периода по МБУДО "ДШИ № 1"</t>
  </si>
  <si>
    <t>Итого предусмотрено на осуществление закупок в текущем году по МБУДО "ДШИ №2"</t>
  </si>
  <si>
    <t>Итого предусмотрено на осуществление закупок на первый год планового периода по МБУДО "ДШИ №2"</t>
  </si>
  <si>
    <t>Итого предусмотрено на осуществление закупок в текущем году МБУДО «ДХШ №1 им. Л.А. Горды»</t>
  </si>
  <si>
    <t>Итого предусмотрено на осуществление закупок на первый год планового периода по МБУДО «ДХШ №1 им. Л.А. Горды»</t>
  </si>
  <si>
    <t>Итого предусмотрено на осуществление закупок в текущем году по МБУ ДО СШ "Аверс"</t>
  </si>
  <si>
    <t>Итого предусмотрено на осуществление закупок на первый год планового периода по МБУ ДО СШ "Аверс"</t>
  </si>
  <si>
    <t>Итого предусмотрено на осуществление закупок в текущем году по МБУ ДО СШОР № 1</t>
  </si>
  <si>
    <t>Итого предусмотрено на осуществление закупок в текущем году по МБУ ДО СШОР "Югория"</t>
  </si>
  <si>
    <t>Итого предусмотрено на осуществление закупок на первый год планового периода по МБУ ДО СШОР "Югория"</t>
  </si>
  <si>
    <t>Итого предусмотрено на осуществление закупок в текущем году по МБУ ДО СШОР "Ермак"</t>
  </si>
  <si>
    <t>Итого предусмотрено на осуществление закупок на первый год планового периода по МБУ ДО СШОР "Ермак"</t>
  </si>
  <si>
    <t>Итого предусмотрено на осуществление закупок в текущем году по МБУ ДО СШОР "Кедр"</t>
  </si>
  <si>
    <t>Итого предусмотрено на осуществление закупок на первый год планового периода по МБУ ДО СШОР "Кедр"</t>
  </si>
  <si>
    <t>Итого предусмотрено на осуществление закупок на второй год планового периода по МБУ ЦФП "Надежда"</t>
  </si>
  <si>
    <t>Итого предусмотрено на осуществление закупок в текущем году по МБУ ДО СШ "Виктория"</t>
  </si>
  <si>
    <t>Итого предусмотрено на осуществление закупок на первый год планового периода по МБУ ДО СШ "Виктория"</t>
  </si>
  <si>
    <t>Итого предусмотрено на осуществление закупок на второй год планового периода по МБУ ДО СШ "Виктория"</t>
  </si>
  <si>
    <t>Итого предусмотрено на осуществление закупок в текущем году по МБУ "Вариант"</t>
  </si>
  <si>
    <t>Итого предусмотрено на осуществление закупок на первый год планового периода по МБУ "Вариант"</t>
  </si>
  <si>
    <t>Итого предусмотрено на осуществление закупок на первый год планового периода по МБУ "ЦСП "Сибирский легион"</t>
  </si>
  <si>
    <t>Итого предусмотрено на осуществление закупок на второй год планового периода по МБУ "ЦСП "Сибирский легион"</t>
  </si>
  <si>
    <t>Итого предусмотрено на осуществление закупок в текущем году по МКУ ССЦ</t>
  </si>
  <si>
    <t>Итого предусмотрено на осуществление закупок на первый год планового периода по МКУ ССЦ</t>
  </si>
  <si>
    <t>Итого предусмотрено на осуществление закупок на второй год планового периода по МКУ ССЦ</t>
  </si>
  <si>
    <t>Итого предусмотрено на осуществление закупок в текущем финансовом году по МКУ "ЕДДС города Сургута"</t>
  </si>
  <si>
    <t>Итого предусмотрено на осуществление закупок на второй год планового периода по МКУ "ЕДДС города Сургута"</t>
  </si>
  <si>
    <t>Итого предусмотрено на осуществление закупок в текущем году по МКУ "ЦООД"</t>
  </si>
  <si>
    <t>Итого предусмотрено на осуществление закупок в текущем году по МКУ "УИТС г. Сургута"</t>
  </si>
  <si>
    <t>Итого предусмотрено на осуществление закупок на первый год планового периода по МКУ "УИТС г. Сургута"</t>
  </si>
  <si>
    <t>Итого предусмотрено на осуществление закупок на второй год планового периода по МКУ "УИТС г. Сургута"</t>
  </si>
  <si>
    <t>Итого предусмотрено на осуществление закупок в текущем году по МКУ "Дворец торжеств"</t>
  </si>
  <si>
    <t>Итого предусмотрено на осуществление закупок на первый год планового периода по МКУ "Дворец торжеств"</t>
  </si>
  <si>
    <t>Итого предусмотрено на осуществление закупок на второй год планового периода по МКУ "Дворец торжеств"</t>
  </si>
  <si>
    <t>Итого предусмотрено на осуществление закупок в текущем году по МКУ "Наш город"</t>
  </si>
  <si>
    <t>июль 2028</t>
  </si>
  <si>
    <t>Итого предусмотрено на осуществление закупок на первый год планового периода по МКУ "Наш город"</t>
  </si>
  <si>
    <t>Итого предусмотрено на осуществление закупок на второй год планового периода по МКУ "Наш город"</t>
  </si>
  <si>
    <t>Итого предусмотрено на осуществление закупок в текущем году по МКУ "ХЭУ"</t>
  </si>
  <si>
    <t>Итого предусмотрено на осуществление закупок на первый год планового периода по МКУ "ХЭУ"</t>
  </si>
  <si>
    <t>Итого предусмотрено на осуществление закупок на второй год планового периода по МКУ "ХЭУ"</t>
  </si>
  <si>
    <t>Итого предусмотрено на осуществление закупок в текущем году по МКУ "Муниципальный архив города Сургута"</t>
  </si>
  <si>
    <t>Итого предусмотрено на осуществление закупок в текущем году по МКУ "ЛПХ"</t>
  </si>
  <si>
    <t>Итого предусмотрено на осуществление закупок на первый год планового периода по МКУ "ЛПХ"</t>
  </si>
  <si>
    <t>Итого предусмотрено на осуществление закупок на второй год планового периода по МКУ "ЛПХ"</t>
  </si>
  <si>
    <t>Итого предусмотрено на осуществление закупок в текущем финансовом году по МКУ "ДДТиЖКК"</t>
  </si>
  <si>
    <t>Итого предусмотрено на осуществление закупок на первый год планового периода по МКУ "ДДТиЖКК"</t>
  </si>
  <si>
    <t>Итого предусмотрено на осуществление закупок на второй год планового периода по МКУ "ДДТиЖКК"</t>
  </si>
  <si>
    <t>Итого предусмотрено на осуществление закупок в текущем году по МКУ "Ритуал"</t>
  </si>
  <si>
    <t>Итого предусмотрено на осуществление закупок на первый год планового периода по МКУ "Ритуал"</t>
  </si>
  <si>
    <t>Итого предусмотрено на осуществление закупок на второй год планового периода по МКУ "Ритуал"</t>
  </si>
  <si>
    <t>Итого предусмотрено на осуществление закупок в текущем году по МКУ "ДЭАЗиИС"</t>
  </si>
  <si>
    <t>Итого предусмотрено на осуществление закупок на первый год планового периода по МКУ "ДЭАЗиИС"</t>
  </si>
  <si>
    <t>Итого предусмотрено на осуществление закупок на второй год планового периода по МКУ "ДЭАЗиИС"</t>
  </si>
  <si>
    <t>МУНИЦИПАЛЬНОЕ БЮДЖЕТНОЕ ОБЩЕОБРАЗОВАТЕЛЬНОЕ УЧРЕЖДЕНИЕ СРЕДНЯЯ ОБЩЕОБРАЗОВАТЕЛЬНАЯ ШКОЛА № 1</t>
  </si>
  <si>
    <t>Февраль 2026</t>
  </si>
  <si>
    <t>263860200025086020100100150008010244</t>
  </si>
  <si>
    <t>Июль 2026</t>
  </si>
  <si>
    <t>263860200025086020100100210003313244</t>
  </si>
  <si>
    <t>Оказание услуг по техническому обслуживанию системы контроля доступа (видеодомофон)</t>
  </si>
  <si>
    <t xml:space="preserve">Итого предусмотрено на осуществление закупок в текущем году </t>
  </si>
  <si>
    <t xml:space="preserve"> 273860200025086020100100050001712244</t>
  </si>
  <si>
    <t>Февраль 2027</t>
  </si>
  <si>
    <t>283860200025086020100100010001712244</t>
  </si>
  <si>
    <t>Февраль 2028</t>
  </si>
  <si>
    <t xml:space="preserve">Итого предусмотрено на осуществление закупок на второй год планового периода </t>
  </si>
  <si>
    <t>МУНИЦИПАЛЬНОЕ БЮДЖЕТНОЕ ОБЩЕОБРАЗОВАТЕЛЬНОЕ УЧРЕЖДЕНИЕ СРЕДНЯЯ ОБЩЕОБРАЗОВАТЕЛЬНАЯ ШКОЛА № 3</t>
  </si>
  <si>
    <t>263860200012286020100100130008010244</t>
  </si>
  <si>
    <t>273860200012286020100100040002620244</t>
  </si>
  <si>
    <t>283860200012286020100100020002620244</t>
  </si>
  <si>
    <t>МУНИЦИПАЛЬНОЕ БЮДЖЕТНОЕ ОБЩЕОБРАЗОВАТЕЛЬНОЕ УЧРЕЖДЕНИЕ СРЕДНЯЯ ОБЩЕОБРАЗОВАТЕЛЬНАЯ ШКОЛА № 4</t>
  </si>
  <si>
    <t>263860200200086020100100140008010244</t>
  </si>
  <si>
    <t>Март 2026</t>
  </si>
  <si>
    <t>МУНИЦИПАЛЬНОЕ БЮДЖЕТНОЕ ОБЩЕОБРАЗОВАТЕЛЬНОЕ УЧРЕЖДЕНИЕ СРЕДНЯЯ ОБЩЕОБРАЗОВАТЕЛЬНАЯ ШКОЛА № 5</t>
  </si>
  <si>
    <t>263860200241986020100100170008010244</t>
  </si>
  <si>
    <t>МУНИЦИПАЛЬНОЕ БЮДЖЕТНОЕ ОБЩЕОБРАЗОВАТЕЛЬНОЕ УЧРЕЖДЕНИЕ СРЕДНЯЯ ОБЩЕОБРАЗОВАТЕЛЬНАЯ ШКОЛА № 6</t>
  </si>
  <si>
    <t>263860200149386020100100200008010244</t>
  </si>
  <si>
    <t>Охранные услуги</t>
  </si>
  <si>
    <t>263860200149386020100100150008010244</t>
  </si>
  <si>
    <t>МУНИЦИПАЛЬНОЕ БЮДЖЕТНОЕ ОБЩЕОБРАЗОВАТЕЛЬНОЕ УЧРЕЖДЕНИЕ СРЕДНЯЯ ОБЩЕОБРАЗОВАТЕЛЬНАЯ ШКОЛА № 7</t>
  </si>
  <si>
    <t>263860200210586020100100120005829244</t>
  </si>
  <si>
    <t>Октябрь 2026</t>
  </si>
  <si>
    <t>263860200210586020100100140008621244</t>
  </si>
  <si>
    <t>Оказание услуг по проведению периодических медицинских осмотров</t>
  </si>
  <si>
    <t>263860200210586020100100160008010244</t>
  </si>
  <si>
    <t>273860200210586020100100040005829244</t>
  </si>
  <si>
    <t>273860200210586020100100100008621244</t>
  </si>
  <si>
    <t>273860200210586020100100060001712244</t>
  </si>
  <si>
    <t>283860200210586020100100010005829244</t>
  </si>
  <si>
    <t>283860200210586020100100030001712244</t>
  </si>
  <si>
    <t>МУНИЦИПАЛЬНОЕ БЮДЖЕТНОЕ ОБЩЕОБРАЗОВАТЕЛЬНОЕ УЧРЕЖДЕНИЕ СРЕДНЯЯ ОБЩЕОБРАЗОВАТЕЛЬНАЯ ШКОЛА № 8 ИМЕНИ СИБИРЦЕВА А.Н.</t>
  </si>
  <si>
    <t>26 3860200083886020100100120008621244</t>
  </si>
  <si>
    <t>Август 2026</t>
  </si>
  <si>
    <t>273860200083886020100100020005829244</t>
  </si>
  <si>
    <t>Октябрь 2027</t>
  </si>
  <si>
    <t>273860200083886020100100030008621244</t>
  </si>
  <si>
    <t>Август 2027</t>
  </si>
  <si>
    <t>283860200083886020100100010005829244</t>
  </si>
  <si>
    <t>Октябрь 2028</t>
  </si>
  <si>
    <t>МУНИЦИПАЛЬНОЕ БЮДЖЕТНОЕ ОБЩЕОБРАЗОВАТЕЛЬНОЕ УЧРЕЖДЕНИЕ  ОБЩЕОБРАЗОВАТЕЛЬНАЯ ШКОЛА № 9</t>
  </si>
  <si>
    <t>263860226396486020100100250002620244</t>
  </si>
  <si>
    <t>Поставка многофункциональных устройств (МФУ)</t>
  </si>
  <si>
    <t>263860226396486020100100210008010244</t>
  </si>
  <si>
    <t>283860226396486020100100070001712244</t>
  </si>
  <si>
    <t>Поставка бумаги для печати</t>
  </si>
  <si>
    <t>МУНИЦИПАЛЬНОЕ БЮДЖЕТНОЕ ОБЩЕОБРАЗОВАТЕЛЬНОЕ УЧРЕЖДЕНИЕ СРЕДНЯЯ ОБЩЕОБРАЗОВАТЕЛЬНАЯ ШКОЛА № 10 С УГЛУБЛЕННЫМ ИЗУЧЕНИЕМ ОТДЕЛЬНЫХ ПРЕДМЕТОВ</t>
  </si>
  <si>
    <t>Июнь 2026</t>
  </si>
  <si>
    <t>263860200212086020100100200008010244</t>
  </si>
  <si>
    <t>263860200212086020100100210008621244</t>
  </si>
  <si>
    <t>Оказание услуг по проведению периодического медицинского осмотра работников</t>
  </si>
  <si>
    <t>Сентябрь 2026</t>
  </si>
  <si>
    <t>263860200212086020100100180008129244</t>
  </si>
  <si>
    <t>Оказание услуг по дератизации и дезинсекции помещений</t>
  </si>
  <si>
    <t>283860200212086020100100020008621244</t>
  </si>
  <si>
    <t>Январь 2028</t>
  </si>
  <si>
    <t>МУНИЦИПАЛЬНОЕ БЮДЖЕТНОЕ ОБЩЕОБРАЗОВАТЕЛЬНОЕ УЧРЕЖДЕНИЕ СРЕДНЯЯ ШКОЛА № 12</t>
  </si>
  <si>
    <t>263860200040486020100100170008010244</t>
  </si>
  <si>
    <t>263860200040486020100100180008010244</t>
  </si>
  <si>
    <t>Июль 2027</t>
  </si>
  <si>
    <t>МУНИЦИПАЛЬНОЕ БЮДЖЕТНОЕ ОБЩЕОБРАЗОВАТЕЛЬНОЕ УЧРЕЖДЕНИЕ СРЕДНЯЯ ОБЩЕОБРАЗОВАТЕЛЬНАЯ ШКОЛА № 15</t>
  </si>
  <si>
    <t>263860200014786020100100230008010244</t>
  </si>
  <si>
    <t>Охрана в общеобразовательных учреждениях сотрудниками ЧОП на 2027, 2028</t>
  </si>
  <si>
    <t>263860200014786020100100340001712244</t>
  </si>
  <si>
    <t>МУНИЦИПАЛЬНОЕ БЮДЖЕТНОЕ ОБЩЕОБРАЗОВАТЕЛЬНОЕ УЧРЕЖДЕНИЕ СРЕДНЯЯ ОБЩЕОБРАЗОВАТЕЛЬНАЯ ШКОЛА № 18 ИМЕНИ ВИТАЛИЯ ЯКОВЛЕВИЧА АЛЕКСЕЕВА</t>
  </si>
  <si>
    <t>263860200219086020100100090008621244</t>
  </si>
  <si>
    <t>263860200219086020100100110001712244</t>
  </si>
  <si>
    <t>263860200219086020100100140005829244</t>
  </si>
  <si>
    <t>273860200219086020100100140001712244</t>
  </si>
  <si>
    <t>МУНИЦИПАЛЬНОЕ БЮДЖЕТНОЕ ОБЩЕОБРАЗОВАТЕЛЬНОЕ УЧРЕЖДЕНИЕ СРЕДНЯЯ ОБЩЕОБРАЗОВАТЕЛЬНАЯ ШКОЛА № 19</t>
  </si>
  <si>
    <t>263860200148686020100100140008010244</t>
  </si>
  <si>
    <t>МУНИЦИПАЛЬНОЕ БЮДЖЕТНОЕ ОБЩЕОБРАЗОВАТЕЛЬНОЕ УЧРЕЖДЕНИЕ СРЕДНЯЯ ОБЩЕОБРАЗОВАТЕЛЬНАЯ ШКОЛА № 20</t>
  </si>
  <si>
    <t>263860200015486020100100060008621244</t>
  </si>
  <si>
    <t>263860200015486020100100190008010244</t>
  </si>
  <si>
    <t>273860200015486020100100020001712244</t>
  </si>
  <si>
    <t>273860200015486020100100050008621244</t>
  </si>
  <si>
    <t>273860200015486020100100030002620244</t>
  </si>
  <si>
    <t>Поставка расходных материалов для копировально-множительной техники и периферийного оборудования</t>
  </si>
  <si>
    <t>283860200015486020100100010002620244</t>
  </si>
  <si>
    <t>МУНИЦИПАЛЬНОЕ БЮДЖЕТНОЕ ОБЩЕОБРАЗОВАТЕЛЬНОЕ УЧРЕЖДЕНИЕ СРЕДНЯЯ ОБЩЕОБРАЗОВАТЕЛЬНАЯ ШКОЛА № 22 ИМЕНИ ГЕННАДИЯ ФЕДОТОВИЧА ПОНОМАРЕВА</t>
  </si>
  <si>
    <t>263860200198386020100100220008010244</t>
  </si>
  <si>
    <t>263860200198386020100100110008010244</t>
  </si>
  <si>
    <t>МУНИЦИПАЛЬНОЕ БЮДЖЕТНОЕ ОБЩЕОБРАЗОВАТЕЛЬНОЕ УЧРЕЖДЕНИЕ СРЕДНЯЯ ОБЩЕОБРАЗОВАТЕЛЬНАЯ ШКОЛА № 24</t>
  </si>
  <si>
    <t>263860201713386020100100130008010244</t>
  </si>
  <si>
    <t>273860201713386020100100070001712244</t>
  </si>
  <si>
    <t xml:space="preserve"> 283860201713386020100100020001712244</t>
  </si>
  <si>
    <t>МУНИЦИПАЛЬНОЕ БЮДЖЕТНОЕ ОБЩЕОБРАЗОВАТЕЛЬНОЕ УЧРЕЖДЕНИЕ СРЕДНЯЯ ОБЩЕОБРАЗОВАТЕЛЬНАЯ ШКОЛА № 25</t>
  </si>
  <si>
    <t>263860200223286020100100120008010244</t>
  </si>
  <si>
    <t>Апрель 2026</t>
  </si>
  <si>
    <t>МУНИЦИПАЛЬНОЕ БЮДЖЕТНОЕ ОБЩЕОБРАЗОВАТЕЛЬНОЕ УЧРЕЖДЕНИЕ СРЕДНЯЯ ОБЩЕОБРАЗОВАТЕЛЬНАЯ ШКОЛА № 27</t>
  </si>
  <si>
    <t>263860200180086020100100110008621244</t>
  </si>
  <si>
    <t>МУНИЦИПАЛЬНОЕ БЮДЖЕТНОЕ ОБЩЕОБРАЗОВАТЕЛЬНОЕ УЧРЕЖДЕНИЕ СРЕДНЯЯ ОБЩЕОБРАЗОВАТЕЛЬНАЯ ШКОЛА № 29</t>
  </si>
  <si>
    <t>263860200209586020100100220008010244</t>
  </si>
  <si>
    <t>Оказание услуг по зимнему содержанию территории</t>
  </si>
  <si>
    <t>273860200209586020100100020001712244</t>
  </si>
  <si>
    <t>283860200209586020100100010001712244</t>
  </si>
  <si>
    <t>МУНИЦИПАЛЬНОЕ БЮДЖЕТНОЕ ОБЩЕОБРАЗОВАТЕЛЬНОЕ УЧРЕЖДЕНИЕ НАЧАЛЬНАЯ ШКОЛА № 30</t>
  </si>
  <si>
    <t>Май 2026</t>
  </si>
  <si>
    <t>273860200201786020100100060008010244</t>
  </si>
  <si>
    <t>Январь 2027</t>
  </si>
  <si>
    <t>МУНИЦИПАЛЬНОЕ БЮДЖЕТНОЕ ОБЩЕОБРАЗОВАТЕЛЬНОЕ УЧРЕЖДЕНИЕ СРЕДНЯЯ ШКОЛА № 31</t>
  </si>
  <si>
    <t>273860221710086020100100030008010244</t>
  </si>
  <si>
    <t>Ноябрь 2027</t>
  </si>
  <si>
    <t>МУНИЦИПАЛЬНОЕ БЮДЖЕТНОЕ ОБЩЕОБРАЗОВАТЕЛЬНОЕ УЧРЕЖДЕНИЕ СРЕДНЯЯ ОБЩЕОБРАЗОВАТЕЛЬНАЯ ШКОЛА № 32</t>
  </si>
  <si>
    <t>263860200184986020100100170008010244</t>
  </si>
  <si>
    <t>263860200184986020100100260000000244</t>
  </si>
  <si>
    <t>Поставка хозтоваров</t>
  </si>
  <si>
    <t>273860200184986020100100070002620244</t>
  </si>
  <si>
    <t>283860200184986020100100010002620244</t>
  </si>
  <si>
    <t>МУНИЦИПАЛЬНОЕ БЮДЖЕТНОЕ ОБЩЕОБРАЗОВАТЕЛЬНОЕ УЧРЕЖДЕНИЕ СРЕДНЯЯ ОБЩЕОБРАЗОВАТЕЛЬНАЯ ШКОЛА № 44</t>
  </si>
  <si>
    <t>263860200279386020100100120008010244</t>
  </si>
  <si>
    <t>МУНИЦИПАЛЬНОЕ БЮДЖЕТНОЕ ОБЩЕОБРАЗОВАТЕЛЬНОЕ УЧРЕЖДЕНИЕ СРЕДНЯЯ ОБЩЕОБРАЗОВАТЕЛЬНАЯ ШКОЛА № 45</t>
  </si>
  <si>
    <t>263860200286786020100100280004321244</t>
  </si>
  <si>
    <t>Монтаж и пуско-наладочные работы системы оповещения и управления эвакуацией людей при совершении или угрозе совершения террористического акта, а также его проявлений.</t>
  </si>
  <si>
    <t>263860200286786020100100200008010244</t>
  </si>
  <si>
    <t>МУНИЦИПАЛЬНОЕ БЮДЖЕТНОЕ ОБЩЕОБРАЗОВАТЕЛЬНОЕ УЧРЕЖДЕНИЕ "СУРГУТСКАЯ ТЕХНОЛОГИЧЕСКАЯ ШКОЛА"</t>
  </si>
  <si>
    <t>273860200202486020100100070001712244</t>
  </si>
  <si>
    <t>283860200202486020100100030001712244</t>
  </si>
  <si>
    <t>МУНИЦИПАЛЬНОЕ БЮДЖЕТНОЕ ОБЩЕОБРАЗОВАТЕЛЬНОЕ УЧРЕЖДЕНИЕ ЛИЦЕЙ № 1</t>
  </si>
  <si>
    <t>273860200222586020100100090003101244</t>
  </si>
  <si>
    <t>Поставка мебели</t>
  </si>
  <si>
    <t>283860200222586020100100050003101244</t>
  </si>
  <si>
    <t>МУНИЦИПАЛЬНОЕ БЮДЖЕТНОЕ ОБЩЕОБРАЗОВАТЕЛЬНОЕ УЧРЕЖДЕНИЕ СУРГУТСКИЙ ЕСТЕСТВЕННО-НАУЧНЫЙ ЛИЦЕЙ</t>
  </si>
  <si>
    <t>263860200220086020100100140008010244</t>
  </si>
  <si>
    <t>263860200220086020100100150004321244</t>
  </si>
  <si>
    <t>Выполнение работ по монтажу системы оповещения людей при угрозе совершения террористического акта</t>
  </si>
  <si>
    <t>263860200220086020100100290008621244</t>
  </si>
  <si>
    <t>Ноябрь 2026</t>
  </si>
  <si>
    <t>МУНИЦИПАЛЬНОЕ БЮДЖЕТНОЕ ОБЩЕОБРАЗОВАТЕЛЬНОЕ УЧРЕЖДЕНИЕ ЛИЦЕЙ № 3</t>
  </si>
  <si>
    <t>263860200218386020100100130008129244</t>
  </si>
  <si>
    <t>263860200218386020100100160008010244</t>
  </si>
  <si>
    <t xml:space="preserve"> Март 2026</t>
  </si>
  <si>
    <t>263860200218386020100100120008129244</t>
  </si>
  <si>
    <t>МУНИЦИПАЛЬНОЕ БЮДЖЕТНОЕ ОБЩЕОБРАЗОВАТЕЛЬНОЕ УЧРЕЖДЕНИЕ ЛИЦЕЙ ИМЕНИ ГЕНЕРАЛ-МАЙОРА ХИСМАТУЛИНА ВАСИЛИЯ ИВАНОВИЧА</t>
  </si>
  <si>
    <t>263860200273086020100100110008010244</t>
  </si>
  <si>
    <t>МУНИЦИПАЛЬНОЕ БЮДЖЕТНОЕ ОБЩЕОБРАЗОВАТЕЛЬНОЕ УЧРЕЖДЕНИЕ ГИМНАЗИЯ № 2</t>
  </si>
  <si>
    <t>263860200046886020100100250008010244</t>
  </si>
  <si>
    <t>273860200046886020100100070000000244</t>
  </si>
  <si>
    <t>Оказание услуг по проведению комплекса организационно-технических мероприятий по периодическому контролю государственных информационных систем на соответствие требованиям защиты информации с предоставлением средств защиты информации</t>
  </si>
  <si>
    <t>Май 2027</t>
  </si>
  <si>
    <t>283860200046886020100100040000000244</t>
  </si>
  <si>
    <t>Май 2028</t>
  </si>
  <si>
    <t>МУНИЦИПАЛЬНОЕ БЮДЖЕТНОЕ ОБЩЕОБРАЗОВАТЕЛЬНОЕ УЧРЕЖДЕНИЕ ГИМНАЗИЯ "ЛАБОРАТОРИЯ САЛАХОВА"</t>
  </si>
  <si>
    <t>263860220004086020100100230008129244</t>
  </si>
  <si>
    <t>Оказание услуг по дезинсекции и дератизации помещений</t>
  </si>
  <si>
    <t>263860220004086020100100220003312244</t>
  </si>
  <si>
    <t>Оказание услуг по техническому обслуживанию прачечного оборудования в  2027 году</t>
  </si>
  <si>
    <t>273860220004086020100100030001712244</t>
  </si>
  <si>
    <t>283860220004086020100100010001712244</t>
  </si>
  <si>
    <t>МУНИЦИПАЛЬНОЕ БЮДЖЕТНОЕ ОБЩЕОБРАЗОВАТЕЛЬНОЕ УЧРЕЖДЕНИЕ ГИМНАЗИЯ ИМЕНИ Ф.К. САЛМАНОВА</t>
  </si>
  <si>
    <t>263860200235286020100100120008010244</t>
  </si>
  <si>
    <t>263860200235286020100100130002620244</t>
  </si>
  <si>
    <t>Поставка ноутбуков</t>
  </si>
  <si>
    <t>МУНИЦИПАЛЬНОЕ БЮДЖЕТНОЕ ОБЩЕОБРАЗОВАТЕЛЬНОЕ УЧРЕЖДЕНИЕ НАЧАЛЬНАЯ ШКОЛА "ПРОГИМНАЗИЯ"</t>
  </si>
  <si>
    <t>263860220052386020100100100008010244</t>
  </si>
  <si>
    <t>263860220052386020100100190008621244</t>
  </si>
  <si>
    <t>263860220052386020100100140000000244</t>
  </si>
  <si>
    <t>Поставка спортивно-технологического оборудования для создания "умной" спортивной площадки</t>
  </si>
  <si>
    <t>МУНИЦИПАЛЬНОЕ
КАЗЕННОЕ УЧРЕЖДЕНИЕ
«УПРАВЛЕНИЕ УЧЁТА И ОТЧЁТНОСТИ ОБРАЗОВАТЕЛЬНЫХ УЧРЕЖДЕНИЙ»</t>
  </si>
  <si>
    <t>Оказание услуг по организации санаторно-курортного лечения детей-инвалидов</t>
  </si>
  <si>
    <t>Оказание услуг по организации отдыха и оздоровления детей в организации отдыха детей и их оздоровления, расположенной на территории Тюменской области</t>
  </si>
  <si>
    <t>Оказание услуг по организации отдыха и оздоровления детей в организации отдыха детей и их оздоровления, расположенной на территории Свердловской области</t>
  </si>
  <si>
    <t>Оказание услуг по организации отдыха и оздоровления детей в организации отдыха детей и их оздоровления, расположенной на территории Ханты-Мансийского автономного округа - Югры</t>
  </si>
  <si>
    <t>Оказание услуг по организации отдыха и оздоровления детей в организации отдыха детей и их оздоровления, расположенной на территории Омской области</t>
  </si>
  <si>
    <t>273860200722386020100100080004939323</t>
  </si>
  <si>
    <t>Оказание автотранспортных услуг по перевозке организованных групп детей (подвоз обучающихся в муниципальное образовательное учреждение)</t>
  </si>
  <si>
    <t>263860200722386020100100620008541244</t>
  </si>
  <si>
    <t>263860200722386020100100530008541244</t>
  </si>
  <si>
    <t>263860200722386020100100630008541244</t>
  </si>
  <si>
    <t>263860200722386020100100540008541244</t>
  </si>
  <si>
    <t>263860200722386020100100640008541244</t>
  </si>
  <si>
    <t>Оказание услуг по организации отдыха и оздоровления детей в организации отдыха детей и их оздоровления, расположенной на территории Челябинской области</t>
  </si>
  <si>
    <t>263860200722386020100100550008541244</t>
  </si>
  <si>
    <t>263860200722386020100100520008541244</t>
  </si>
  <si>
    <t>263860200722386020100100610008541244</t>
  </si>
  <si>
    <t>263860200722386020100100650008541244</t>
  </si>
  <si>
    <t>273860200722386020100100070008690323</t>
  </si>
  <si>
    <t>273860200722386020100100060008541244</t>
  </si>
  <si>
    <t>Оказание услуг по организации отдыха и оздоровления детей в организации отдыха детей и их оздоровления</t>
  </si>
  <si>
    <t>283860200722386020100100030008690323</t>
  </si>
  <si>
    <t>283860200722386020100100040004939323</t>
  </si>
  <si>
    <t>283860200722386020100100020008541244</t>
  </si>
  <si>
    <t>Поставка канцелярских товаров</t>
  </si>
  <si>
    <t>февраль 2026</t>
  </si>
  <si>
    <t>МУНИЦИПАЛЬНОЕ БЮДЖЕТНОЕ ДОШКОЛЬНОЕ ОБРАЗОВАТЕЛЬНОЕ УЧРЕЖДЕНИЕ №4 "Умка</t>
  </si>
  <si>
    <t>263860206331686020100100250001011244</t>
  </si>
  <si>
    <t>Поставка мяса</t>
  </si>
  <si>
    <t>263860206331686020100100380001051244</t>
  </si>
  <si>
    <t>Поставка продуктов питания</t>
  </si>
  <si>
    <t>263860206331686020100100390001020244</t>
  </si>
  <si>
    <t>Поставка рыбы</t>
  </si>
  <si>
    <t>263860206331686020100100400001011244</t>
  </si>
  <si>
    <t>263860206331686020100100410001012244</t>
  </si>
  <si>
    <t>Поставка мяса птицы</t>
  </si>
  <si>
    <t>263860206331686020100100420001051244</t>
  </si>
  <si>
    <t>263860206331686020100100430001086244</t>
  </si>
  <si>
    <t>Поставка сока</t>
  </si>
  <si>
    <t>Итого предусмотрено на осуществление закупок в текущем финансовом году</t>
  </si>
  <si>
    <t>МУНИЦИПАЛЬНОЕ БЮДЖЕТНОЕ ДОШКОЛЬНОЕ ОБРАЗОВАТЕЛЬНОЕ УЧРЕЖДЕНИЕ №6 "Василек"</t>
  </si>
  <si>
    <t>263860200355786020100100260000000244</t>
  </si>
  <si>
    <t>Поставка фруктов</t>
  </si>
  <si>
    <t>263860200355786020100100270001011244</t>
  </si>
  <si>
    <t>263860200355786020100100280001020244</t>
  </si>
  <si>
    <t>263860200355786020100100290001051244</t>
  </si>
  <si>
    <t>263860200355786020100100240008010244</t>
  </si>
  <si>
    <t>май 2026</t>
  </si>
  <si>
    <t>263860200355786020100100250009601244</t>
  </si>
  <si>
    <t>Оказание прачечных услуг</t>
  </si>
  <si>
    <t>273860200355786020100100090000000244</t>
  </si>
  <si>
    <t>283860200355786020100100030000000244</t>
  </si>
  <si>
    <t>МУНИЦИПАЛЬНОЕ БЮДЖЕТНОЕ ДОШКОЛЬНОЕ ОБРАЗОВАТЕЛЬНОЕ УЧРЕЖДЕНИЕ №7 "Буровичок"</t>
  </si>
  <si>
    <t>263860200357186020100100280001011244</t>
  </si>
  <si>
    <t>Поставка мяса и мясной продукции</t>
  </si>
  <si>
    <t>263860200357186020100100290000000244</t>
  </si>
  <si>
    <t>263860200357186020100100300001051244</t>
  </si>
  <si>
    <t>Поставка масла сливочного и творога</t>
  </si>
  <si>
    <t>263860200357186020100100310001012244</t>
  </si>
  <si>
    <t>Поставка цыплят- бройлеров</t>
  </si>
  <si>
    <t>263860200357186020100100330001020244</t>
  </si>
  <si>
    <t>263860200357186020100100340001086244</t>
  </si>
  <si>
    <t>273860200357186020100100110000000244</t>
  </si>
  <si>
    <t>283860200357186020100100050000000244</t>
  </si>
  <si>
    <t>МУНИЦИПАЛЬНОЕ БЮДЖЕТНОЕ ДОШКОЛЬНОЕ ОБРАЗОВАТЕЛЬНОЕ УЧРЕЖДЕНИЕ №8 "Огонек"</t>
  </si>
  <si>
    <t>Оказание услуг по зимней механизированной уборке территории с последующим вывозом снега</t>
  </si>
  <si>
    <t>апрель 2026</t>
  </si>
  <si>
    <t>Оказание услуг по зимнему содержанию крыш</t>
  </si>
  <si>
    <t>263860215326386020100100470001020244</t>
  </si>
  <si>
    <t>Поставка рыбы декабрь 2026</t>
  </si>
  <si>
    <t>263860215326386020100100480001086244</t>
  </si>
  <si>
    <t>Поставка сока на декабрь 2026</t>
  </si>
  <si>
    <t>263860215326386020100100490001012244</t>
  </si>
  <si>
    <t>Поставка мяса птицы на декабрь 2026</t>
  </si>
  <si>
    <t>263860215326386020100100500001011244</t>
  </si>
  <si>
    <t>263860215326386020100100360001051244</t>
  </si>
  <si>
    <t xml:space="preserve">Поставка продуктов питания </t>
  </si>
  <si>
    <t>28 38602153263860201001 0002 000 1020 244</t>
  </si>
  <si>
    <t>МУНИЦИПАЛЬНОЕ БЮДЖЕТНОЕ ДОШКОЛЬНОЕ ОБРАЗОВАТЕЛЬНОЕ УЧРЕЖДЕНИЕ №9 "Метелица"</t>
  </si>
  <si>
    <t>Поставка кистей художественных</t>
  </si>
  <si>
    <t>263860216650586020100100530001020244</t>
  </si>
  <si>
    <t>263860216650586020100100540001051244</t>
  </si>
  <si>
    <t>Поставка творога и масла сливочного</t>
  </si>
  <si>
    <t>263860216650586020100100550001011244</t>
  </si>
  <si>
    <t>263860216650586020100100560001086244</t>
  </si>
  <si>
    <t>263860216650586020100100570001012244</t>
  </si>
  <si>
    <t>263860216650586020100100590000000244</t>
  </si>
  <si>
    <t>273860216650586020100100230001723244</t>
  </si>
  <si>
    <t>283860216650586020100100100001723244</t>
  </si>
  <si>
    <t>МУНИЦИПАЛЬНОЕ БЮДЖЕТНОЕ ДОШКОЛЬНОЕ ОБРАЗОВАТЕЛЬНОЕ УЧРЕЖДЕНИЕ №14 "Брусничка"</t>
  </si>
  <si>
    <t>263860200181786020100100270001011244</t>
  </si>
  <si>
    <t>263860200181786020100100280001051244</t>
  </si>
  <si>
    <t>263860200181786020100100290001020244</t>
  </si>
  <si>
    <t>263860200181786020100100300001086244</t>
  </si>
  <si>
    <t>263860200181786020100100310000000244</t>
  </si>
  <si>
    <t>273860200181786020100100150001051244</t>
  </si>
  <si>
    <t>МУНИЦИПАЛЬНОЕ БЮДЖЕТНОЕ ДОШКОЛЬНОЕ ОБРАЗОВАТЕЛЬНОЕ УЧРЕЖДЕНИЕ №17 "Белочка"</t>
  </si>
  <si>
    <t>263860216932086020100100260008010244</t>
  </si>
  <si>
    <t>263860216932086020100100270001012244</t>
  </si>
  <si>
    <t>263860216932086020100100280001086244</t>
  </si>
  <si>
    <t>263860216932086020100100290001051244</t>
  </si>
  <si>
    <t>263860216932086020100100300000000244</t>
  </si>
  <si>
    <t>263860216932086020100100340000000244</t>
  </si>
  <si>
    <t>263860216932086020100100370000000244</t>
  </si>
  <si>
    <t>273860216932086020100100100003240244</t>
  </si>
  <si>
    <t>Поставка кукол</t>
  </si>
  <si>
    <t>283860216932086020100100030003109244</t>
  </si>
  <si>
    <t>Поставка детской мебели</t>
  </si>
  <si>
    <t>МУНИЦИПАЛЬНОЕ БЮДЖЕТНОЕ ДОШКОЛЬНОЕ ОБРАЗОВАТЕЛЬНОЕ УЧРЕЖДЕНИЕ №18"Мишутка"</t>
  </si>
  <si>
    <t>263860216931286020100100390001011244</t>
  </si>
  <si>
    <t>263860216931286020100100400001051244</t>
  </si>
  <si>
    <t>263860216931286020100100410001086244</t>
  </si>
  <si>
    <t>263860216931286020100100420001020244</t>
  </si>
  <si>
    <t>263860216931286020100100430001012244</t>
  </si>
  <si>
    <t>273860216931286020100100080003240244</t>
  </si>
  <si>
    <t>Поставка игрового оборудования в 27 г</t>
  </si>
  <si>
    <t>273860216931286020100100120001051244</t>
  </si>
  <si>
    <t>Поставка продуктов питания в 2027-28 гг</t>
  </si>
  <si>
    <t>283860216931286020100100010003240244</t>
  </si>
  <si>
    <t>Поставка игрового оборудования в 28 г</t>
  </si>
  <si>
    <t>МУНИЦИПАЛЬНОЕ БЮДЖЕТНОЕ ДОШКОЛЬНОЕ ОБРАЗОВАТЕЛЬНОЕ УЧРЕЖДЕНИЕ №20 "Югорка"</t>
  </si>
  <si>
    <t>263860216930586020100100220008129244</t>
  </si>
  <si>
    <t>263860216930586020100100310008122244</t>
  </si>
  <si>
    <t>283860216930586020100100070008010244</t>
  </si>
  <si>
    <t>МУНИЦИПАЛЬНОЕ БЮДЖЕТНОЕ ДОШКОЛЬНОЕ ОБРАЗОВАТЕЛЬНОЕ УЧРЕЖДЕНИЕ №22 "Сказка"</t>
  </si>
  <si>
    <t>263860200315586020100100390008010244</t>
  </si>
  <si>
    <t>263860200315586020100100400001051244</t>
  </si>
  <si>
    <t>263860200315586020100100410001086244</t>
  </si>
  <si>
    <t>263860200315586020100100430001011244</t>
  </si>
  <si>
    <t>263860200315586020100100460000000244</t>
  </si>
  <si>
    <t>263860200315586020100100470001020244</t>
  </si>
  <si>
    <t>МУНИЦИПАЛЬНОЕ БЮДЖЕТНОЕ ДОШКОЛЬНОЕ ОБРАЗОВАТЕЛЬНОЕ УЧРЕЖДЕНИЕ №25 "Родничок"</t>
  </si>
  <si>
    <t>263860200175086020100100190001051244</t>
  </si>
  <si>
    <t>263860200175086020100100200001011244</t>
  </si>
  <si>
    <t>263860200175086020100100210001012244</t>
  </si>
  <si>
    <t>263860200175086020100100220001020244</t>
  </si>
  <si>
    <t>263860200175086020100100230001086244</t>
  </si>
  <si>
    <t>273860200175086020100100080003240244</t>
  </si>
  <si>
    <t>Поставка товара для игровой деятельности</t>
  </si>
  <si>
    <t>273860200175086020100100130001051244</t>
  </si>
  <si>
    <t>283860200175086020100100100003240244</t>
  </si>
  <si>
    <t>283860200175086020100100140001051244</t>
  </si>
  <si>
    <t>МУНИЦИПАЛЬНОЕ БЮДЖЕТНОЕ ДОШКОЛЬНОЕ ОБРАЗОВАТЕЛЬНОЕ УЧРЕЖДЕНИЕ №26 "Золотая рыбка"</t>
  </si>
  <si>
    <t>263860220647686020100100370001012244</t>
  </si>
  <si>
    <t>263860220647686020100100380001086244</t>
  </si>
  <si>
    <t>263860220647686020100100390001051244</t>
  </si>
  <si>
    <t>263860220647686020100100400001020244</t>
  </si>
  <si>
    <t>263860220647686020100100410001011244</t>
  </si>
  <si>
    <t>263860220647686020100100420000000244</t>
  </si>
  <si>
    <t>263860220647686020100100430001051244</t>
  </si>
  <si>
    <t>Поставка  молочной продукции</t>
  </si>
  <si>
    <t>263860220647686020100100480008621244</t>
  </si>
  <si>
    <t>283860220647686020100100030001020244</t>
  </si>
  <si>
    <t xml:space="preserve">МУНИЦИПАЛЬНОЕ БЮДЖЕТНОЕ ДОШКОЛЬНОЕ ОБРАЗОВАТЕЛЬНОЕ УЧРЕЖДЕНИЕ 27 "Микки-Маус" </t>
  </si>
  <si>
    <t>263860200265986020100100180008122244</t>
  </si>
  <si>
    <t>Оказание услуг по зимнему содержанию крыш в 2027 году</t>
  </si>
  <si>
    <t>263860200265986020100100190008129244</t>
  </si>
  <si>
    <t>Оказание услуг по зимнему содержанию территории в 2027 -2028 годах</t>
  </si>
  <si>
    <t>263860200265986020100100200008621244</t>
  </si>
  <si>
    <t>Оказание услуг по проведению периодического медицинского осмотра сотрудников в 2027 году</t>
  </si>
  <si>
    <t>263860200265986020100100210008010244</t>
  </si>
  <si>
    <t>263860200265986020100100240008010244</t>
  </si>
  <si>
    <t>263860200265986020100100260001051244</t>
  </si>
  <si>
    <t>263860200265986020100100270001086244</t>
  </si>
  <si>
    <t>263860200265986020100100280001020244</t>
  </si>
  <si>
    <t>263860200265986020100100290001011244</t>
  </si>
  <si>
    <t>Поставка мяса и мясных продуктов</t>
  </si>
  <si>
    <t>263860200265986020100100300001051244</t>
  </si>
  <si>
    <t>273860200265986020100100120003291244</t>
  </si>
  <si>
    <t>273860200265986020100100130008122244</t>
  </si>
  <si>
    <t>Оказание услуг по зимнему содержанию крыш в 2028 году</t>
  </si>
  <si>
    <t>273860200265986020100100140008129244</t>
  </si>
  <si>
    <t>Оказание услуг по зимнему содержанию территории в 2028 году</t>
  </si>
  <si>
    <t>273860200265986020100100150008621244</t>
  </si>
  <si>
    <t>Оказание услуг по проведению периодического медицинского осмотра сотрудников в 2028 году</t>
  </si>
  <si>
    <t>283860200265986020100100030003291244</t>
  </si>
  <si>
    <t>МУНИЦИПАЛЬНОЕ БЮДЖЕТНОЕ ДОШКОЛЬНОЕ ОБРАЗОВАТЕЛЬНОЕ УЧРЕЖДЕНИЕ №28 "Калинка"</t>
  </si>
  <si>
    <t>263860200356486020100100330001011244</t>
  </si>
  <si>
    <t>263860200356486020100100350001051244</t>
  </si>
  <si>
    <t>Поставка масла сливочного</t>
  </si>
  <si>
    <t>263860200356486020100100360001011244</t>
  </si>
  <si>
    <t>263860200356486020100100370001051244</t>
  </si>
  <si>
    <t>263860200356486020100100380008010244</t>
  </si>
  <si>
    <t>263860200356486020100100390000000244</t>
  </si>
  <si>
    <t>273860200356486020100100090003240244</t>
  </si>
  <si>
    <t>283860200356486020100100030003240244</t>
  </si>
  <si>
    <t>МУНИЦИПАЛЬНОЕ БЮДЖЕТНОЕ ДОШКОЛЬНОЕ ОБРАЗОВАТЕЛЬНОЕ УЧРЕЖДЕНИЕ №30 "Семицветик"</t>
  </si>
  <si>
    <t>263860221928186020100100250001051244</t>
  </si>
  <si>
    <t>Поставка творога и сливочного масла</t>
  </si>
  <si>
    <t>263860221928186020100100270001020244</t>
  </si>
  <si>
    <t>263860221928186020100100280001011244</t>
  </si>
  <si>
    <t>Поставка мяса и субпродуктов</t>
  </si>
  <si>
    <t>263860221928186020100100290001011244</t>
  </si>
  <si>
    <t>Поставка  мяса и субпродуктов 2026г.</t>
  </si>
  <si>
    <t>263860221928186020100100300001051244</t>
  </si>
  <si>
    <t>Поставка творога и сливочного масла 2026г.</t>
  </si>
  <si>
    <t>263860221928186020100100380008010244</t>
  </si>
  <si>
    <t>263860221928186020100100390008621244</t>
  </si>
  <si>
    <t>263860221928186020100100400008129244</t>
  </si>
  <si>
    <t>Оказание услуг по механизированной очистке территории от снега с последующим его вывозом</t>
  </si>
  <si>
    <t>263860221928186020100100410008122244</t>
  </si>
  <si>
    <t>Оказание услуг по очистке кровли от снега и наледи с погрузкой и вывозом сброшенного снега</t>
  </si>
  <si>
    <t>273860221928186020100100110000000244</t>
  </si>
  <si>
    <t>283860221928186020100100070000000244</t>
  </si>
  <si>
    <t>Поставка продуктов питания 2028г.</t>
  </si>
  <si>
    <t>МУНИЦИПАЛЬНОЕ БЮДЖЕТНОЕ ДОШКОЛЬНОЕ ОБРАЗОВАТЕЛЬНОЕ УЧРЕЖДЕНИЕ №31 "Снегирек"</t>
  </si>
  <si>
    <t>263860220645186020100100220007112247</t>
  </si>
  <si>
    <t>Оказание услуг, направленных на энергосбережение и повышение энергетической эффективности использования электрической энергии на нужды внутреннего освещения</t>
  </si>
  <si>
    <t>Электронный конкурс</t>
  </si>
  <si>
    <t>263860220645186020100100170001051244</t>
  </si>
  <si>
    <t>273860220645186020100100040001051244</t>
  </si>
  <si>
    <t xml:space="preserve">МУНИЦИПАЛЬНОЕ БЮДЖЕТНОЕ ДОШКОЛЬНОЕ ОБРАЗОВАТЕЛЬНОЕ УЧРЕЖДЕНИЕ №33 "Аленький цветочек" </t>
  </si>
  <si>
    <t>263860219720786020100100100001051244</t>
  </si>
  <si>
    <t>263860219720786020100100320001051244</t>
  </si>
  <si>
    <t>263860219720786020100100330001020244</t>
  </si>
  <si>
    <t>263860219720786020100100340001051244</t>
  </si>
  <si>
    <t>Поставка молочной продукции</t>
  </si>
  <si>
    <t>263860219720786020100100350001012244</t>
  </si>
  <si>
    <t>263860219720786020100100360001086244</t>
  </si>
  <si>
    <t>263860219720786020100100370001011244</t>
  </si>
  <si>
    <t>273860219720786020100100070001723244</t>
  </si>
  <si>
    <t>273860219720786020100100120001051244</t>
  </si>
  <si>
    <t>283860219720786020100100090001723244</t>
  </si>
  <si>
    <t>МУНИЦИПАЛЬНОЕ БЮДЖЕТНОЕ ДОШКОЛЬНОЕ ОБРАЗОВАТЕЛЬНОЕ УЧРЕЖДЕНИЕ № 34 "Березка"</t>
  </si>
  <si>
    <t>263860220646986020100100110001051244</t>
  </si>
  <si>
    <t>263860220646986020100100120001051244</t>
  </si>
  <si>
    <t>263860220646986020100100190000000244</t>
  </si>
  <si>
    <t>263860220646986020100100310001086244</t>
  </si>
  <si>
    <t>263860220646986020100100320001011244</t>
  </si>
  <si>
    <t>263860220646986020100100330001020244</t>
  </si>
  <si>
    <t>263860220646986020100100340008010244</t>
  </si>
  <si>
    <t>273860220646986020100100160001051244</t>
  </si>
  <si>
    <t>273860220646986020100100170001051244</t>
  </si>
  <si>
    <t>283860220646986020100100060000000244</t>
  </si>
  <si>
    <t>МУНИЦИПАЛЬНОЕ БЮДЖЕТНОЕ ДОШКОЛЬНОЕ ОБРАЗОВАТЕЛЬНОЕ УЧРЕЖДЕНИЕ №36 "Яблонька "</t>
  </si>
  <si>
    <t>263860225480086020100100260001051244</t>
  </si>
  <si>
    <t>263860225480086020100100270001020244</t>
  </si>
  <si>
    <t>263860225480086020100100280001011244</t>
  </si>
  <si>
    <t>263860225480086020100100290001012244</t>
  </si>
  <si>
    <t>263860225480086020100100300001051244</t>
  </si>
  <si>
    <t>263860225480086020100100310001086244</t>
  </si>
  <si>
    <t>263860225480086020100100320000000244</t>
  </si>
  <si>
    <t>263860225480086020100100330008010244</t>
  </si>
  <si>
    <t>263860225480086020100100340003312244</t>
  </si>
  <si>
    <t>Оказание услуг по техническому обслуживанию торгово-технологического, холодильного и прачечного оборудования</t>
  </si>
  <si>
    <t>263860225480086020100100350008621244</t>
  </si>
  <si>
    <t>263860225480086020100100360008129244</t>
  </si>
  <si>
    <t>263860225480086020100100370008129244</t>
  </si>
  <si>
    <t>263860225480086020100100380008122244</t>
  </si>
  <si>
    <t>273860225480086020100100070003240244</t>
  </si>
  <si>
    <t>Поставка игр и игровых наборов</t>
  </si>
  <si>
    <t>283860225480086020100100010003240244</t>
  </si>
  <si>
    <t>Поставка игрушек и игровых наборов</t>
  </si>
  <si>
    <t>283860225480086020100100030001011244</t>
  </si>
  <si>
    <t>МУНИЦИПАЛЬНОЕ БЮДЖЕТНОЕ ДОШКОЛЬНОЕ ОБРАЗОВАТЕЛЬНОЕ УЧРЕЖДЕНИЕ № 37 "Колокольчик"</t>
  </si>
  <si>
    <t>263860220556086020100100200001011244</t>
  </si>
  <si>
    <t>263860220556086020100100210001051244</t>
  </si>
  <si>
    <t>263860220556086020100100220001020244</t>
  </si>
  <si>
    <t>263860220556086020100100230008010244</t>
  </si>
  <si>
    <t>Оказание услуг охраны</t>
  </si>
  <si>
    <t>263860220556086020100100260001020244</t>
  </si>
  <si>
    <t>263860220556086020100100270001086244</t>
  </si>
  <si>
    <t>273860220556086020100100110001051244</t>
  </si>
  <si>
    <t>МУНИЦИПАЛЬНОЕ БЮДЖЕТНОЕ ДОШКОЛЬНОЕ ОБРАЗОВАТЕЛЬНОЕ УЧРЕЖДЕНИЕ № 38 "Зоренька"</t>
  </si>
  <si>
    <t>263860200342086020100100110001086244</t>
  </si>
  <si>
    <t>263860200342086020100100120001011244</t>
  </si>
  <si>
    <t>263860200342086020100100140001020244</t>
  </si>
  <si>
    <t>263860200342086020100100150001051244</t>
  </si>
  <si>
    <t>263860200342086020100100160000000244</t>
  </si>
  <si>
    <t>263860200342086020100100180001051244</t>
  </si>
  <si>
    <t>263860200342086020100100380008010244</t>
  </si>
  <si>
    <t>273860200342086020100100070001020244</t>
  </si>
  <si>
    <t>273860200342086020100100080002030244</t>
  </si>
  <si>
    <t>283860200342086020100100040002030244</t>
  </si>
  <si>
    <t>МУНИЦИПАЛЬНОЕ БЮДЖЕТНОЕ ДОШКОЛЬНОЕ ОБРАЗОВАТЕЛЬНОЕ УЧРЕЖДЕНИЕ №40 "Снегурочка"</t>
  </si>
  <si>
    <t>263860220032286020100100290001051244</t>
  </si>
  <si>
    <t>263860220032286020100100300001020244</t>
  </si>
  <si>
    <t>263860220032286020100100310001051244</t>
  </si>
  <si>
    <t>263860220032286020100100330001011244</t>
  </si>
  <si>
    <t>263860220032286020100100220001051244</t>
  </si>
  <si>
    <t>МУНИЦИПАЛЬНОЕ БЮДЖЕТНОЕ ДОШКОЛЬНОЕ ОБРАЗОВАТЕЛЬНОЕ УЧРЕЖДЕНИЕ №41 "Рябинушка"</t>
  </si>
  <si>
    <t>263860200354086020100100210008129244</t>
  </si>
  <si>
    <t>Оказание услуг по дезинсекции и дератизации помещений в 2027-2028 годах</t>
  </si>
  <si>
    <t>263860200354086020100100240003312244</t>
  </si>
  <si>
    <t>Оказание услуг по техническому обслуживанию торгово-технологического, холодильного, прачечного и прочего  оборудования  в 2027 - 2028 годах</t>
  </si>
  <si>
    <t>263860200354086020100100250003313244</t>
  </si>
  <si>
    <t>Оказание услуг по техническому обслуживанию систем контроля доступа в 2027-2028 годах</t>
  </si>
  <si>
    <t>263860200354086020100100260003313244</t>
  </si>
  <si>
    <t>Оказание услуг по техническому обслуживанию системы видеонаблюдения в 2027 - 2028 годах</t>
  </si>
  <si>
    <t>263860200354086020100100270001051244</t>
  </si>
  <si>
    <t>263860200354086020100100280000000244</t>
  </si>
  <si>
    <t>263860200354086020100100290001051244</t>
  </si>
  <si>
    <t>Поставка молока и молочной продукции</t>
  </si>
  <si>
    <t>263860200354086020100100300001020244</t>
  </si>
  <si>
    <t>263860200354086020100100310001086244</t>
  </si>
  <si>
    <t>263860200354086020100100320001011244</t>
  </si>
  <si>
    <t>283860200354086020100100030001011244</t>
  </si>
  <si>
    <t>МУНИЦИПАЛЬНОЕ БЮДЖЕТНОЕ ДОШКОЛЬНОЕ ОБРАЗОВАТЕЛЬНОЕ УЧРЕЖДЕНИЕ №43 "Лесная сказка"</t>
  </si>
  <si>
    <t>263860225478386020100100410001011244</t>
  </si>
  <si>
    <t>263860225478386020100100420001020244</t>
  </si>
  <si>
    <t>263860225478386020100100430001051244</t>
  </si>
  <si>
    <t>263860225478386020100100440001086244</t>
  </si>
  <si>
    <t>263860225478386020100100450001012244</t>
  </si>
  <si>
    <t>Поставка  цыплят- бройлеров</t>
  </si>
  <si>
    <t>263860225478386020100100460001051244</t>
  </si>
  <si>
    <t>Поставка  продуктов  питания</t>
  </si>
  <si>
    <t>273860225478386020100100110001051244</t>
  </si>
  <si>
    <t>283860225478386020100100020001051244</t>
  </si>
  <si>
    <t xml:space="preserve">МУНИЦИПАЛЬНОЕ БЮДЖЕТНОЕ ДОШКОЛЬНОЕ ОБРАЗОВАТЕЛЬНОЕ УЧРЕЖДЕНИЕ №44 "Сибирячок" </t>
  </si>
  <si>
    <t>263860226033986020100100360001020244</t>
  </si>
  <si>
    <t>263860226033986020100100370001086244</t>
  </si>
  <si>
    <t>263860226033986020100100380001011244</t>
  </si>
  <si>
    <t>263860226033986020100100390001051244</t>
  </si>
  <si>
    <t>263860226033986020100100400001051244</t>
  </si>
  <si>
    <t>263860226033986020100100420008621244</t>
  </si>
  <si>
    <t>Оказание услуг по проведению периодического медицинского осмотра работников в 2027 году</t>
  </si>
  <si>
    <t>263860226033986020100100430003313244</t>
  </si>
  <si>
    <t>263860226033986020100100440008129244</t>
  </si>
  <si>
    <t>273860226033986020100100080001051244</t>
  </si>
  <si>
    <t>283860226033986020100100060001723244</t>
  </si>
  <si>
    <t>МУНИЦИПАЛЬНОЕ БЮДЖЕТНОЕ ДОШКОЛЬНОЕ ОБРАЗОВАТЕЛЬНОЕ УЧРЕЖДЕНИЕ №45 "Волчок"</t>
  </si>
  <si>
    <t>26 38602272292860201001 0017 000 1051 244</t>
  </si>
  <si>
    <t>26 38602272292860201001 0023 000 8010 244</t>
  </si>
  <si>
    <t>26 38602272292860201001 0027 000 1012 244</t>
  </si>
  <si>
    <t>26 38602272292860201001 0029 000 1011 244</t>
  </si>
  <si>
    <t>26 38602272292860201001 0030 000 1086 244</t>
  </si>
  <si>
    <t>26 38602272292860201001 0031 000 1020 244</t>
  </si>
  <si>
    <t>26 38602272292860201001 0032 000 0000 244</t>
  </si>
  <si>
    <t>273860227229286020100100080001051244</t>
  </si>
  <si>
    <t>273860227229286020100100110003240244</t>
  </si>
  <si>
    <t>283860227229286020100100020003240244</t>
  </si>
  <si>
    <t>МУНИЦИПАЛЬНОЕ БЮДЖЕТНОЕ ДОШКОЛЬНОЕ ОБРАЗОВАТЕЛЬНОЕ УЧРЕЖДЕНИЕ №47 "Гусельки"</t>
  </si>
  <si>
    <t>263860200358986020100100300001051244</t>
  </si>
  <si>
    <t>Поставка творога и масла</t>
  </si>
  <si>
    <t>263860200358986020100100310001020244</t>
  </si>
  <si>
    <t>263860200358986020100100320001051244</t>
  </si>
  <si>
    <t>263860200358986020100100330001011244</t>
  </si>
  <si>
    <t>263860200358986020100100360001086244</t>
  </si>
  <si>
    <t>263860200358986020100100370000000244</t>
  </si>
  <si>
    <t>263860200358986020100100380008010244</t>
  </si>
  <si>
    <t>263860200358986020100100390008621244</t>
  </si>
  <si>
    <t>Оказание услуг по проведению периодического медицинского осмотра сотрудников</t>
  </si>
  <si>
    <t>263860200358986020100100420008129244</t>
  </si>
  <si>
    <t>263860200358986020100100430001012244</t>
  </si>
  <si>
    <t>283860200358986020100100040001086244</t>
  </si>
  <si>
    <t>283860200358986020100100050001020244</t>
  </si>
  <si>
    <t>283860200358986020100100060001051244</t>
  </si>
  <si>
    <t>283860200358986020100100080001051244</t>
  </si>
  <si>
    <t>МУНИЦИПАЛЬНОЕ БЮДЖЕТНОЕ ДОШКОЛЬНОЕ ОБРАЗОВАТЕЛЬНОЕ УЧРЕЖДЕНИЕ №48 "Росток"</t>
  </si>
  <si>
    <t>263860224790986020100100180001020244</t>
  </si>
  <si>
    <t>263860224790986020100100190008010244</t>
  </si>
  <si>
    <t>263860224790986020100100200000000244</t>
  </si>
  <si>
    <t>263860224790986020100100350001051244</t>
  </si>
  <si>
    <t>263860224790986020100100370001011244</t>
  </si>
  <si>
    <t>283860224790986020100100040003240244</t>
  </si>
  <si>
    <t>Поставка игр, игрушек и игровых наборов</t>
  </si>
  <si>
    <t>МУНИЦИПАЛЬНОЕ БЮДЖЕТНОЕ ДОШКОЛЬНОЕ ОБРАЗОВАТЕЛЬНОЕ УЧРЕЖДЕНИЕ №56 "Искорка"</t>
  </si>
  <si>
    <t>263860200350086020100100170001011244</t>
  </si>
  <si>
    <t>263860200350086020100100180001086244</t>
  </si>
  <si>
    <t>263860200350086020100100190001051244</t>
  </si>
  <si>
    <t>263860200350086020100100200001020244</t>
  </si>
  <si>
    <t>263860200350086020100100310008020244</t>
  </si>
  <si>
    <t>263860200350086020100100320008010244</t>
  </si>
  <si>
    <t>273860200350086020100100160001020244</t>
  </si>
  <si>
    <t>273860200350086020100100170001051244</t>
  </si>
  <si>
    <t>273860200350086020100100180001086244</t>
  </si>
  <si>
    <t>273860200350086020100100190001051244</t>
  </si>
  <si>
    <t>273860200350086020100100200001011244</t>
  </si>
  <si>
    <t>МУНИЦИПАЛЬНОЕ БЮДЖЕТНОЕ ДОШКОЛЬНОЕ ОБРАЗОВАТЕЛЬНОЕ УЧРЕЖДЕНИЕ №61 "Лель"</t>
  </si>
  <si>
    <t>263860200263486020100100230001051244</t>
  </si>
  <si>
    <t>263860200263486020100100240001051244</t>
  </si>
  <si>
    <t>Поставка творога и  масла сливочного</t>
  </si>
  <si>
    <t>263860200263486020100100250001086244</t>
  </si>
  <si>
    <t>263860200263486020100100260001020244</t>
  </si>
  <si>
    <t>263860200263486020100100270001012244</t>
  </si>
  <si>
    <t>263860200263486020100100280000000244</t>
  </si>
  <si>
    <t>263860200263486020100100300001011244</t>
  </si>
  <si>
    <t>283860200263486020100100030001011244</t>
  </si>
  <si>
    <t>август 2028</t>
  </si>
  <si>
    <t>МУНИЦИПАЛЬНОЕ БЮДЖЕТНОЕ ДОШКОЛЬНОЕ ОБРАЗОВАТЕЛЬНОЕ УЧРЕЖДЕНИЕ №65 "Фестивальный"</t>
  </si>
  <si>
    <t>263860200337086020100100520008010244</t>
  </si>
  <si>
    <t>263860200337086020100100260001011244</t>
  </si>
  <si>
    <t>263860200337086020100100270001051244</t>
  </si>
  <si>
    <t>263860200337086020100100280001012244</t>
  </si>
  <si>
    <t>263860200337086020100100300001086244</t>
  </si>
  <si>
    <t>263860200337086020100100310001051244</t>
  </si>
  <si>
    <t>263860200337086020100100320001020244</t>
  </si>
  <si>
    <t>263860200337086020100100240008010244</t>
  </si>
  <si>
    <t>273860200337086020100100130001011244</t>
  </si>
  <si>
    <t>273860200337086020100100140001051244</t>
  </si>
  <si>
    <t>273860200337086020100100150001012244</t>
  </si>
  <si>
    <t>273860200337086020100100160001086244</t>
  </si>
  <si>
    <t>273860200337086020100100170001051244</t>
  </si>
  <si>
    <t>273860200337086020100100180001020244</t>
  </si>
  <si>
    <t>273860200337086020100100190003240244</t>
  </si>
  <si>
    <t>273860200337086020100100200001723244</t>
  </si>
  <si>
    <t>283860200337086020100100020003240244</t>
  </si>
  <si>
    <t>283860200337086020100100030001723244</t>
  </si>
  <si>
    <t>МУНИЦИПАЛЬНОЕ БЮДЖЕТНОЕ ДОШКОЛЬНОЕ ОБРАЗОВАТЕЛЬНОЕ УЧРЕЖДЕНИЕ №70 "Голубок"</t>
  </si>
  <si>
    <t>263860200343786020100100220000000244</t>
  </si>
  <si>
    <t>263860200343786020100100250008010244</t>
  </si>
  <si>
    <t>263860200343786020100100260001051244</t>
  </si>
  <si>
    <t>263860200343786020100100270001011244</t>
  </si>
  <si>
    <t>263860200343786020100100350001020244</t>
  </si>
  <si>
    <t>263860200343786020100100380001051244</t>
  </si>
  <si>
    <t>273860200343786020100100170001051244</t>
  </si>
  <si>
    <t>273860200343786020100100180001011244</t>
  </si>
  <si>
    <t xml:space="preserve">МУНИЦИПАЛЬНОЕ БЮДЖЕТНОЕ ДОШКОЛЬНОЕ ОБРАЗОВАТЕЛЬНОЕ УЧРЕЖДЕНИЕ №74 "Филиппок" </t>
  </si>
  <si>
    <t>263860200361386020100100130001011244</t>
  </si>
  <si>
    <t>263860200361386020100100150008010244</t>
  </si>
  <si>
    <t>263860200361386020100100210001051244</t>
  </si>
  <si>
    <t>263860200361386020100100220001086244</t>
  </si>
  <si>
    <t>263860200361386020100100230001020244</t>
  </si>
  <si>
    <t>263860200361386020100100240001011244</t>
  </si>
  <si>
    <t>263860200361386020100100250001012244</t>
  </si>
  <si>
    <t>263860200361386020100100260001051244</t>
  </si>
  <si>
    <t>263860200361386020100100270008129244</t>
  </si>
  <si>
    <t>263860200361386020100100280003313244</t>
  </si>
  <si>
    <t>263860200361386020100100290008621244</t>
  </si>
  <si>
    <t>МУНИЦИПАЛЬНОЕ БЮДЖЕТНОЕ ДОШКОЛЬНОЕ ОБРАЗОВАТЕЛЬНОЕ УЧРЕЖДЕНИЕ №77 "Бусинка"</t>
  </si>
  <si>
    <t>263860200340586020100100300008129244</t>
  </si>
  <si>
    <t>263860200340586020100100310008010244</t>
  </si>
  <si>
    <t>263860200340586020100100330003312244</t>
  </si>
  <si>
    <t>263860200340586020100100230001051244</t>
  </si>
  <si>
    <t>263860200340586020100100240001051244</t>
  </si>
  <si>
    <t>263860200340586020100100250001011244</t>
  </si>
  <si>
    <t>263860200340586020100100260001020244</t>
  </si>
  <si>
    <t>263860200340586020100100280001086244</t>
  </si>
  <si>
    <t>263860200340586020100100290000000244</t>
  </si>
  <si>
    <t>263860200340586020100100320008621244</t>
  </si>
  <si>
    <t>273860200340586020100100050001011244</t>
  </si>
  <si>
    <t>273860200340586020100100060003240244</t>
  </si>
  <si>
    <t>Поставка игрушек</t>
  </si>
  <si>
    <t>283860200340586020100100010001011244</t>
  </si>
  <si>
    <t>283860200340586020100100020003240244</t>
  </si>
  <si>
    <t>МУНИЦИПАЛЬНОЕ БЮДЖЕТНОЕ ДОШКОЛЬНОЕ ОБРАЗОВАТЕЛЬНОЕ УЧРЕЖДЕНИЕ №78 "Ивушка"</t>
  </si>
  <si>
    <t>263860200240186020100100180008129244</t>
  </si>
  <si>
    <t>263860200240186020100100640001020244</t>
  </si>
  <si>
    <t>263860200240186020100100650001011244</t>
  </si>
  <si>
    <t>263860200240186020100100670001086244</t>
  </si>
  <si>
    <t>263860200240186020100100700000000244</t>
  </si>
  <si>
    <t>263860200240186020100100130001051244</t>
  </si>
  <si>
    <t>Поставка масла и творога</t>
  </si>
  <si>
    <t>263860200240186020100100170008010244</t>
  </si>
  <si>
    <t>283860200240186020100100010001051244</t>
  </si>
  <si>
    <t>МУНИЦИПАЛЬНОЕ БЮДЖЕТНОЕ ДОШКОЛЬНОЕ ОБРАЗОВАТЕЛЬНОЕ УЧРЕЖДЕНИЕ №81 "Мальвина"</t>
  </si>
  <si>
    <t>263860200262786020100100330008129244</t>
  </si>
  <si>
    <t>263860200262786020100100360001011244</t>
  </si>
  <si>
    <t>263860200262786020100100370001020244</t>
  </si>
  <si>
    <t>263860200262786020100100380001086244</t>
  </si>
  <si>
    <t>263860200262786020100100390001012244</t>
  </si>
  <si>
    <t>263860200262786020100100400008122244</t>
  </si>
  <si>
    <t>263860200262786020100100260008129244</t>
  </si>
  <si>
    <t>Зимнее содержание</t>
  </si>
  <si>
    <t>263860200262786020100100280001051244</t>
  </si>
  <si>
    <t>263860200262786020100100290001051244</t>
  </si>
  <si>
    <t>273860200262786020100100110003240244</t>
  </si>
  <si>
    <t>Поставка товаров для игровой деятельности</t>
  </si>
  <si>
    <t>273860200262786020100100190008129244</t>
  </si>
  <si>
    <t>273860200262786020100100210008010244</t>
  </si>
  <si>
    <t>283860200262786020100100030003240244</t>
  </si>
  <si>
    <t>МУНИЦИПАЛЬНОЕ БЮДЖЕТНОЕ ДОШКОЛЬНОЕ ОБРАЗОВАТЕЛЬНОЕ УЧРЕЖДЕНИЕ №89 "Крепыш"</t>
  </si>
  <si>
    <t>263860200363886020100100260001020244</t>
  </si>
  <si>
    <t>263860200363886020100100270001051244</t>
  </si>
  <si>
    <t>263860200363886020100100280001011244</t>
  </si>
  <si>
    <t>263860200363886020100100290001051244</t>
  </si>
  <si>
    <t>263860200363886020100100300001012244</t>
  </si>
  <si>
    <t>263860200363886020100100110001011244</t>
  </si>
  <si>
    <t>263860200363886020100100150001011244</t>
  </si>
  <si>
    <t>МУНИЦИПАЛЬНОЕ БЮДЖЕТНОЕ ДОШКОЛЬНОЕ ОБРАЗОВАТЕЛЬНОЕ УЧРЕЖДЕНИЕ №92 "Веснушка"</t>
  </si>
  <si>
    <t>263860200335686020100100280001011244</t>
  </si>
  <si>
    <t>263860200335686020100100290001051244</t>
  </si>
  <si>
    <t>263860200335686020100100300000000244</t>
  </si>
  <si>
    <t>263860200335686020100100310001020244</t>
  </si>
  <si>
    <t>263860200335686020100100320001051244</t>
  </si>
  <si>
    <t>263860200335686020100100330001012244</t>
  </si>
  <si>
    <t>273860200335686020100100090002030244</t>
  </si>
  <si>
    <t>273860200335686020100100100003240244</t>
  </si>
  <si>
    <t>273860200335686020100100120001020244</t>
  </si>
  <si>
    <t>283860200335686020100100020002030244</t>
  </si>
  <si>
    <t>283860200335686020100100030003240244</t>
  </si>
  <si>
    <t>283860200335686020100100040008010244</t>
  </si>
  <si>
    <t>Оказание услуг охраны муниципального имущества</t>
  </si>
  <si>
    <t>283860200335686020100100050001020244</t>
  </si>
  <si>
    <t>МУНИЦИПАЛЬНОЕ
КАЗЕННОЕ УЧРЕЖДЕНИЕ "УДОУ"</t>
  </si>
  <si>
    <t>273860200344486020100100130001723244</t>
  </si>
  <si>
    <t>273860200344486020100100140002823244</t>
  </si>
  <si>
    <t>Приобретение комплектующих и расходных материалов для принтеров, многофункциональных устройств, компьютерной техники</t>
  </si>
  <si>
    <t>273860200344486020100100180008121244</t>
  </si>
  <si>
    <t>283860200344486020100100020001723244</t>
  </si>
  <si>
    <t>283860200344486020100100030002823244</t>
  </si>
  <si>
    <t>283860200344486020100100040008121244</t>
  </si>
  <si>
    <t>ДИЗО Администрации                                                    г. Сургута</t>
  </si>
  <si>
    <t>26 38602303825860201001 0009 000 6810 412</t>
  </si>
  <si>
    <t>Приобретение в муниципальную собственность жилого помещения (квартиры)</t>
  </si>
  <si>
    <t>июль - ноябрь 2026</t>
  </si>
  <si>
    <t>26 38602303825860201001 0010 000 6810 412</t>
  </si>
  <si>
    <t>Приобретение в муниципальную собственность жилого помещения для обмена жилого помещения инвалидам, семьям, имеющим детей-инвалидов</t>
  </si>
  <si>
    <t>273860230382586020100100020006831244</t>
  </si>
  <si>
    <t>Оказание услуг по оценке муниципального имущества</t>
  </si>
  <si>
    <t>февраль - ноябрь 2027</t>
  </si>
  <si>
    <t>273860230382586020100100030006832244</t>
  </si>
  <si>
    <t>Оказание услуг по изготовлению технической документации на объекты недвижимого имущества</t>
  </si>
  <si>
    <t>запрос котривок в электронной форме</t>
  </si>
  <si>
    <t>273860230382586020100100050008010244</t>
  </si>
  <si>
    <t>273860230382586020100100070006810412</t>
  </si>
  <si>
    <t>283860230382586020100100020006831244</t>
  </si>
  <si>
    <t>февраль - ноябрь 2028</t>
  </si>
  <si>
    <t>283860230382586020100100030006832244</t>
  </si>
  <si>
    <t>283860230382586020100100050008010244</t>
  </si>
  <si>
    <t>МКУ "КГХ"</t>
  </si>
  <si>
    <t>263860200292386020100101250014311244</t>
  </si>
  <si>
    <t>Снос объектов и сооружений</t>
  </si>
  <si>
    <t>263860200292386020100100590004339244</t>
  </si>
  <si>
    <t>Выполнение работ по ремонту муниципального жилого помещения</t>
  </si>
  <si>
    <t xml:space="preserve">июль - октябрь 2026 </t>
  </si>
  <si>
    <t>263860200292386020100100880024311244</t>
  </si>
  <si>
    <t>Снос домов, подлежащих выводу из эксплуатации с последующим демонтажем строительных конструкций, в связи с переселением из них граждан</t>
  </si>
  <si>
    <t>27 38602002923860201001 0034 000 6832 244</t>
  </si>
  <si>
    <t>Оказание услуг по изготовлению актов обследования, подтверждающих прекращение существования объектов недвижимости</t>
  </si>
  <si>
    <t>27 38602002923860201001 0015 000 2620 244</t>
  </si>
  <si>
    <t>27 38602002923860201001 0035 000 7120 244</t>
  </si>
  <si>
    <t>Оказание услуг по обследованию жилого дома на предмет признания его аварийным, а также жилых помещений непригодными для проживания</t>
  </si>
  <si>
    <t>27 38602002923860201001 0023 000 3811 244</t>
  </si>
  <si>
    <t>Оказание услуг по освобождению от имущества нанимателей муниципальных жилых помещений</t>
  </si>
  <si>
    <t xml:space="preserve">27 38602002923860201001 0008 000 4322 244
</t>
  </si>
  <si>
    <t>Оказание услуг по поверке индивидуальных приборов учета ГХВС</t>
  </si>
  <si>
    <t>27 38602002923860201001 0016 000 1712 244</t>
  </si>
  <si>
    <t>26 38602002923860201001 0034 000 3312 244</t>
  </si>
  <si>
    <t>Техническое обслуживание</t>
  </si>
  <si>
    <t>сентябрь - октябрь 2026</t>
  </si>
  <si>
    <t>26 38602002923860201001 0045 000 8129 244</t>
  </si>
  <si>
    <t>Зимняя механизированная уборка территории нежилого здания</t>
  </si>
  <si>
    <t>27 38602002923860201001 0032 000 4339 244</t>
  </si>
  <si>
    <t>26 38602002923860201001 0035 000 8121 244</t>
  </si>
  <si>
    <t>26 38602002923860201001 0057 000 8010 244</t>
  </si>
  <si>
    <t>Оказание услуг по круглосуточному дежурству обслуживающего персонала в общежитии</t>
  </si>
  <si>
    <t>26 38602002923860201001 0060 000 5320 244</t>
  </si>
  <si>
    <t>Оказание услуг по изготовлению и доставке счет – извещений на оплату найма нанимателям муниципальных жилых помещений</t>
  </si>
  <si>
    <t>26 38602002923860201001 0036 000 8010 244</t>
  </si>
  <si>
    <t>26 38602002923860201001 0033 000 4932 244</t>
  </si>
  <si>
    <t>28 38602002923860201001 0011 000 6832 244</t>
  </si>
  <si>
    <t>28 38602002923860201001 0001 000 4322 244</t>
  </si>
  <si>
    <t>28 38602002923860201001 0004 000 2620 244</t>
  </si>
  <si>
    <t>28 38602002923860201001 0012 000 7120 244</t>
  </si>
  <si>
    <t>28 38602002923860201001 0006 000 3811 244</t>
  </si>
  <si>
    <t>28 38602002923860201001 0005 000 1712 244</t>
  </si>
  <si>
    <t>27 38602002923860201001 0012 000 3312 244</t>
  </si>
  <si>
    <t>сентябрь - октябрь 2027</t>
  </si>
  <si>
    <t>26 38602002923860201001 0046 000 8129 244</t>
  </si>
  <si>
    <t>28 38602002923860201001 0010 000 4339 244</t>
  </si>
  <si>
    <t>март - октябрь  2028</t>
  </si>
  <si>
    <t>27 38602002923860201001 0013 000 8121 244</t>
  </si>
  <si>
    <t>27 38602002923860201001 0031 000 8010 244</t>
  </si>
  <si>
    <t>27 38602002923860201001 0014 000 8010 244</t>
  </si>
  <si>
    <t>27 38602002923860201001 0033 000 5320 244</t>
  </si>
  <si>
    <t>27 38602002923860201001 0011 000 4932 244</t>
  </si>
  <si>
    <t>Контрольно-счетная палата города Сургута</t>
  </si>
  <si>
    <t>263860202735786020100100020006920244</t>
  </si>
  <si>
    <t>Услуги по проведению финансового аудита</t>
  </si>
  <si>
    <t>Электронный запрос котировок</t>
  </si>
  <si>
    <t>263860202735786020100100030007112244</t>
  </si>
  <si>
    <t>Услуги геологические и геофизические консультативные</t>
  </si>
  <si>
    <t>Услуги по технической поддержке в области информационных технологий прочие, не включенные в другие группировки</t>
  </si>
  <si>
    <t>273860202735786020100100020006920244</t>
  </si>
  <si>
    <t>273860202735786020100100030007112244</t>
  </si>
  <si>
    <t>273860202735786020100100050006209244</t>
  </si>
  <si>
    <t>283860202735786020100100020006920244</t>
  </si>
  <si>
    <t>283860202735786020100100030007112244</t>
  </si>
  <si>
    <t>283860202735786020100100050006209244</t>
  </si>
  <si>
    <t>Дума города Сургута</t>
  </si>
  <si>
    <t>Оказание услуг по изготовлению и поставке сувенирной продукции (открытки с вкладышем и конвертом)</t>
  </si>
  <si>
    <t xml:space="preserve">электронный аукцион </t>
  </si>
  <si>
    <t>Оказание услуг по изготовлению и поставке сувенирной продукции (папки для памятных адресов)</t>
  </si>
  <si>
    <t>180,0</t>
  </si>
  <si>
    <t>Оказание услуг по изготовлению и поставке сувенирной продукции (памятный адрес)</t>
  </si>
  <si>
    <t>65,0</t>
  </si>
  <si>
    <t>Оказание услуг по изготовлению и поставке сувенирной продукции (подарочные пакеты)</t>
  </si>
  <si>
    <t>50,0</t>
  </si>
  <si>
    <t>263860201128386020100100350001723244</t>
  </si>
  <si>
    <t>Оказание услуг по изготовлению и поставке наборов сувенирной продукции (ежедневник, планинг)</t>
  </si>
  <si>
    <t>150,0</t>
  </si>
  <si>
    <t>263860201128386020100100360005819244</t>
  </si>
  <si>
    <t>Оказание услуг по изготовлению и поставке сувенирной продукции (календари с гербом города Сургута и надписью "Дума города Сургута")</t>
  </si>
  <si>
    <t>710,0</t>
  </si>
  <si>
    <t>запрос котировок</t>
  </si>
  <si>
    <t>179,0</t>
  </si>
  <si>
    <t>Итого предусмотрено на осуществление закупок в текущем году:</t>
  </si>
  <si>
    <t>263860201128386020100100410000119244</t>
  </si>
  <si>
    <t>Изготовление и поставка цветочных композиций в 2027 году</t>
  </si>
  <si>
    <t>263860201128386020100100420005911244</t>
  </si>
  <si>
    <t>Оказание услуг по информационному обслуживанию Думы города Сургута в электронных средствах массовой информации (телевидение) в 2027 году</t>
  </si>
  <si>
    <t>2600,0</t>
  </si>
  <si>
    <t>263860201128386020100100430006311244</t>
  </si>
  <si>
    <t>Оказание услуг по информационному обслуживанию деятельности Думы города Сургута в Интернете в 2027 году</t>
  </si>
  <si>
    <t>1000,0</t>
  </si>
  <si>
    <t>263860201128386020100100440001811244</t>
  </si>
  <si>
    <t>Оказание услуг по информационному освещению деятельности Думы города Сургута в печатных средствах массовой информации в 2027 году</t>
  </si>
  <si>
    <t>октябр, 2026</t>
  </si>
  <si>
    <t>263860201128386020100100450001811244</t>
  </si>
  <si>
    <t>300,0</t>
  </si>
  <si>
    <t>263860201128386020100100460005920244</t>
  </si>
  <si>
    <t>Оказание услуг по информационному обслуживанию Думы города Сургута в электронных средствах массовой информации (радио) в 2027 году</t>
  </si>
  <si>
    <t>500,0</t>
  </si>
  <si>
    <t>263860201128386020100100470005911244</t>
  </si>
  <si>
    <t>2000,0</t>
  </si>
  <si>
    <t>263860201128386020100100480000000244</t>
  </si>
  <si>
    <t>Оказание услуг по информационному обслуживанию Думы города Сургута в электронных средствах массовой информации (телевидение и интернет) в 2027 году</t>
  </si>
  <si>
    <t>263860201128386020100100490005920244</t>
  </si>
  <si>
    <t>400,0</t>
  </si>
  <si>
    <t>263860201128386020100100500001811244</t>
  </si>
  <si>
    <t>273860201128386020100100100005819244</t>
  </si>
  <si>
    <t>273860201128386020100100110008621244</t>
  </si>
  <si>
    <t>273860201128386020100100120001512244</t>
  </si>
  <si>
    <t>273860201128386020100100130001721244</t>
  </si>
  <si>
    <t>273860201128386020100100140005819244</t>
  </si>
  <si>
    <t>125,0</t>
  </si>
  <si>
    <t>273860201128386020100100150001723244</t>
  </si>
  <si>
    <t>150</t>
  </si>
  <si>
    <t>273860201128386020100100160005819244</t>
  </si>
  <si>
    <t>10209,0</t>
  </si>
  <si>
    <t>273860201128386020100100190001811244</t>
  </si>
  <si>
    <t>Оказание услуг по информационному освещению деятельности Думы города Сургута в печатных средствах массовой информации в 2028 году</t>
  </si>
  <si>
    <t>273860201128386020100100200005920244</t>
  </si>
  <si>
    <t>Оказание услуг по информационному обслуживанию Думы города Сургута в электронных средствах массовой информации (радио) в 2028 году</t>
  </si>
  <si>
    <t>273860201128386020100100210005920244</t>
  </si>
  <si>
    <t>октябр, 2027</t>
  </si>
  <si>
    <t>273860201128386020100100220000119244</t>
  </si>
  <si>
    <t>Изготовление и поставка цветочных композиций в 2028 году</t>
  </si>
  <si>
    <t>273860201128386020100100230000000244</t>
  </si>
  <si>
    <t>Оказание услуг по информационному обслуживанию Думы города Сургута в электронных средствах массовой информации (телевидение и интернет) в 2028 году</t>
  </si>
  <si>
    <t>273860201128386020100100240001811244</t>
  </si>
  <si>
    <t>273860201128386020100100250005911244</t>
  </si>
  <si>
    <t>Оказание услуг по информационному обслуживанию Думы города Сургута в электронных средствах массовой информации (телевидение) в 2028 году</t>
  </si>
  <si>
    <t>273860201128386020100100260005911244</t>
  </si>
  <si>
    <t>273860201128386020100100270001811244</t>
  </si>
  <si>
    <t>273860201128386020100100280006311244</t>
  </si>
  <si>
    <t>Оказание услуг по информационному обслуживанию деятельности Думы города Сургута в Интернете в 2028 году</t>
  </si>
  <si>
    <t>283860201128386020100100010005819244</t>
  </si>
  <si>
    <t>283860201128386020100100020005819244</t>
  </si>
  <si>
    <t>283860201128386020100100030001721244</t>
  </si>
  <si>
    <t>283860201128386020100100040005819244</t>
  </si>
  <si>
    <t>283860201128386020100100060001512244</t>
  </si>
  <si>
    <t>283860201128386020100100070001723244</t>
  </si>
  <si>
    <t>283860201128386020100100080008621244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</si>
</sst>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#,##0.00\ _₽"/>
    <numFmt numFmtId="165" formatCode="_-* #,##0.00\ _₽_-;\-* #,##0.00\ _₽_-;_-* &quot;-&quot;??\ _₽_-;_-@_-"/>
    <numFmt numFmtId="166" formatCode="[$-419]mmmm\ yyyy;@"/>
    <numFmt numFmtId="167" formatCode="?"/>
    <numFmt numFmtId="168" formatCode="#,##0.0"/>
    <numFmt numFmtId="169" formatCode="0.0"/>
    <numFmt numFmtId="170" formatCode="#,##0.0,"/>
    <numFmt numFmtId="171" formatCode="_-* #,##0.0\ _₽_-;\-* #,##0.0\ _₽_-;_-* &quot;-&quot;?\ _₽_-;_-@_-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13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/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49" fontId="6" fillId="2" borderId="5" xfId="2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 applyProtection="1">
      <alignment horizontal="center" vertical="center" wrapText="1"/>
    </xf>
    <xf numFmtId="165" fontId="6" fillId="2" borderId="5" xfId="0" applyNumberFormat="1" applyFont="1" applyFill="1" applyBorder="1" applyAlignment="1" applyProtection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9" fontId="6" fillId="2" borderId="5" xfId="2" applyNumberFormat="1" applyFont="1" applyFill="1" applyBorder="1" applyAlignment="1">
      <alignment vertical="center" wrapText="1"/>
    </xf>
    <xf numFmtId="49" fontId="6" fillId="2" borderId="5" xfId="2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vertical="center" wrapText="1"/>
    </xf>
    <xf numFmtId="165" fontId="6" fillId="2" borderId="5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165" fontId="7" fillId="2" borderId="5" xfId="0" applyNumberFormat="1" applyFont="1" applyFill="1" applyBorder="1" applyAlignment="1">
      <alignment vertical="center" wrapText="1"/>
    </xf>
    <xf numFmtId="165" fontId="7" fillId="2" borderId="5" xfId="1" applyNumberFormat="1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49" fontId="6" fillId="2" borderId="6" xfId="0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vertical="center" wrapText="1"/>
    </xf>
    <xf numFmtId="49" fontId="6" fillId="2" borderId="9" xfId="0" applyNumberFormat="1" applyFont="1" applyFill="1" applyBorder="1" applyAlignment="1" applyProtection="1">
      <alignment vertical="center" wrapText="1"/>
    </xf>
    <xf numFmtId="165" fontId="6" fillId="2" borderId="9" xfId="0" applyNumberFormat="1" applyFont="1" applyFill="1" applyBorder="1" applyAlignment="1" applyProtection="1">
      <alignment vertical="center" wrapText="1"/>
    </xf>
    <xf numFmtId="165" fontId="6" fillId="2" borderId="10" xfId="0" applyNumberFormat="1" applyFont="1" applyFill="1" applyBorder="1" applyAlignment="1" applyProtection="1">
      <alignment vertical="center" wrapText="1"/>
    </xf>
    <xf numFmtId="165" fontId="6" fillId="2" borderId="5" xfId="0" applyNumberFormat="1" applyFont="1" applyFill="1" applyBorder="1" applyAlignment="1" applyProtection="1">
      <alignment vertical="center" wrapText="1"/>
    </xf>
    <xf numFmtId="49" fontId="7" fillId="2" borderId="5" xfId="0" applyNumberFormat="1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49" fontId="6" fillId="2" borderId="8" xfId="2" applyNumberFormat="1" applyFont="1" applyFill="1" applyBorder="1" applyAlignment="1">
      <alignment vertical="center" wrapText="1"/>
    </xf>
    <xf numFmtId="49" fontId="6" fillId="2" borderId="4" xfId="2" applyNumberFormat="1" applyFont="1" applyFill="1" applyBorder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165" fontId="6" fillId="2" borderId="0" xfId="0" applyNumberFormat="1" applyFont="1" applyFill="1" applyAlignment="1">
      <alignment vertical="center"/>
    </xf>
    <xf numFmtId="4" fontId="7" fillId="2" borderId="5" xfId="0" applyNumberFormat="1" applyFont="1" applyFill="1" applyBorder="1" applyAlignment="1">
      <alignment vertical="center" wrapText="1"/>
    </xf>
    <xf numFmtId="166" fontId="6" fillId="2" borderId="5" xfId="0" applyNumberFormat="1" applyFont="1" applyFill="1" applyBorder="1" applyAlignment="1">
      <alignment horizontal="left" vertical="center" wrapText="1"/>
    </xf>
    <xf numFmtId="165" fontId="7" fillId="2" borderId="9" xfId="0" applyNumberFormat="1" applyFont="1" applyFill="1" applyBorder="1" applyAlignment="1" applyProtection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9" fontId="6" fillId="2" borderId="12" xfId="2" applyNumberFormat="1" applyFont="1" applyFill="1" applyBorder="1" applyAlignment="1">
      <alignment horizontal="center" vertical="center" wrapText="1"/>
    </xf>
    <xf numFmtId="49" fontId="6" fillId="2" borderId="14" xfId="2" applyNumberFormat="1" applyFont="1" applyFill="1" applyBorder="1" applyAlignment="1">
      <alignment horizontal="center" vertical="center" wrapText="1"/>
    </xf>
    <xf numFmtId="165" fontId="6" fillId="2" borderId="15" xfId="1" applyNumberFormat="1" applyFont="1" applyFill="1" applyBorder="1" applyAlignment="1">
      <alignment vertical="center" wrapText="1"/>
    </xf>
    <xf numFmtId="49" fontId="6" fillId="2" borderId="7" xfId="0" applyNumberFormat="1" applyFont="1" applyFill="1" applyBorder="1" applyAlignment="1">
      <alignment vertical="center" wrapText="1"/>
    </xf>
    <xf numFmtId="165" fontId="6" fillId="2" borderId="4" xfId="0" applyNumberFormat="1" applyFont="1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49" fontId="6" fillId="2" borderId="16" xfId="0" applyNumberFormat="1" applyFont="1" applyFill="1" applyBorder="1" applyAlignment="1">
      <alignment vertical="center" wrapText="1"/>
    </xf>
    <xf numFmtId="165" fontId="7" fillId="2" borderId="4" xfId="0" applyNumberFormat="1" applyFont="1" applyFill="1" applyBorder="1" applyAlignment="1">
      <alignment vertical="center" wrapText="1"/>
    </xf>
    <xf numFmtId="165" fontId="6" fillId="2" borderId="4" xfId="0" applyNumberFormat="1" applyFont="1" applyFill="1" applyBorder="1" applyAlignment="1" applyProtection="1">
      <alignment vertical="center" wrapText="1"/>
    </xf>
    <xf numFmtId="49" fontId="6" fillId="2" borderId="8" xfId="0" applyNumberFormat="1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vertical="center"/>
    </xf>
    <xf numFmtId="49" fontId="6" fillId="2" borderId="0" xfId="0" applyNumberFormat="1" applyFont="1" applyFill="1" applyAlignment="1">
      <alignment vertical="center" wrapText="1"/>
    </xf>
    <xf numFmtId="4" fontId="7" fillId="2" borderId="4" xfId="0" applyNumberFormat="1" applyFont="1" applyFill="1" applyBorder="1" applyAlignment="1">
      <alignment vertical="center" wrapText="1"/>
    </xf>
    <xf numFmtId="0" fontId="7" fillId="2" borderId="5" xfId="2" applyFont="1" applyFill="1" applyBorder="1" applyAlignment="1">
      <alignment horizontal="center" vertical="center" wrapText="1"/>
    </xf>
    <xf numFmtId="168" fontId="6" fillId="2" borderId="5" xfId="0" applyNumberFormat="1" applyFont="1" applyFill="1" applyBorder="1" applyAlignment="1" applyProtection="1">
      <alignment horizontal="center" vertical="center" wrapText="1"/>
    </xf>
    <xf numFmtId="171" fontId="6" fillId="2" borderId="5" xfId="0" applyNumberFormat="1" applyFont="1" applyFill="1" applyBorder="1" applyAlignment="1" applyProtection="1">
      <alignment horizontal="center" vertical="center" wrapText="1"/>
    </xf>
    <xf numFmtId="168" fontId="6" fillId="2" borderId="5" xfId="0" applyNumberFormat="1" applyFont="1" applyFill="1" applyBorder="1" applyAlignment="1">
      <alignment horizontal="center" vertical="center" wrapText="1"/>
    </xf>
    <xf numFmtId="166" fontId="6" fillId="2" borderId="5" xfId="0" applyNumberFormat="1" applyFont="1" applyFill="1" applyBorder="1" applyAlignment="1">
      <alignment horizontal="center" vertical="center" wrapText="1"/>
    </xf>
    <xf numFmtId="171" fontId="6" fillId="2" borderId="5" xfId="0" applyNumberFormat="1" applyFont="1" applyFill="1" applyBorder="1" applyAlignment="1">
      <alignment horizontal="center" vertical="center" wrapText="1"/>
    </xf>
    <xf numFmtId="169" fontId="6" fillId="2" borderId="5" xfId="0" applyNumberFormat="1" applyFont="1" applyFill="1" applyBorder="1" applyAlignment="1" applyProtection="1">
      <alignment horizontal="center" vertical="center" wrapText="1"/>
    </xf>
    <xf numFmtId="169" fontId="6" fillId="2" borderId="5" xfId="0" applyNumberFormat="1" applyFont="1" applyFill="1" applyBorder="1" applyAlignment="1">
      <alignment horizontal="center" vertical="center" wrapText="1"/>
    </xf>
    <xf numFmtId="170" fontId="6" fillId="2" borderId="5" xfId="0" applyNumberFormat="1" applyFont="1" applyFill="1" applyBorder="1" applyAlignment="1">
      <alignment horizontal="center" vertical="center" wrapText="1"/>
    </xf>
    <xf numFmtId="170" fontId="6" fillId="2" borderId="5" xfId="0" applyNumberFormat="1" applyFont="1" applyFill="1" applyBorder="1" applyAlignment="1" applyProtection="1">
      <alignment horizontal="center" vertical="center" wrapText="1"/>
    </xf>
    <xf numFmtId="43" fontId="6" fillId="2" borderId="5" xfId="0" applyNumberFormat="1" applyFont="1" applyFill="1" applyBorder="1" applyAlignment="1">
      <alignment horizontal="center" vertical="center" wrapText="1"/>
    </xf>
    <xf numFmtId="4" fontId="6" fillId="2" borderId="5" xfId="1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3" fontId="6" fillId="2" borderId="5" xfId="1" applyFont="1" applyFill="1" applyBorder="1" applyAlignment="1" applyProtection="1">
      <alignment horizontal="center" vertical="center" wrapText="1"/>
    </xf>
    <xf numFmtId="170" fontId="6" fillId="2" borderId="5" xfId="0" applyNumberFormat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17" fontId="6" fillId="2" borderId="5" xfId="0" quotePrefix="1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164" fontId="6" fillId="2" borderId="5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/>
    </xf>
    <xf numFmtId="11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49" fontId="6" fillId="2" borderId="5" xfId="0" quotePrefix="1" applyNumberFormat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49" fontId="6" fillId="2" borderId="5" xfId="0" quotePrefix="1" applyNumberFormat="1" applyFont="1" applyFill="1" applyBorder="1" applyAlignment="1">
      <alignment horizontal="center" vertical="center"/>
    </xf>
    <xf numFmtId="4" fontId="6" fillId="2" borderId="5" xfId="0" quotePrefix="1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top" wrapText="1"/>
    </xf>
    <xf numFmtId="165" fontId="6" fillId="2" borderId="5" xfId="0" applyNumberFormat="1" applyFont="1" applyFill="1" applyBorder="1" applyAlignment="1">
      <alignment horizontal="center" vertical="top" wrapText="1"/>
    </xf>
    <xf numFmtId="49" fontId="6" fillId="2" borderId="5" xfId="0" applyNumberFormat="1" applyFont="1" applyFill="1" applyBorder="1" applyAlignment="1">
      <alignment horizontal="center" vertical="top"/>
    </xf>
    <xf numFmtId="49" fontId="7" fillId="2" borderId="5" xfId="0" applyNumberFormat="1" applyFont="1" applyFill="1" applyBorder="1" applyAlignment="1">
      <alignment horizontal="center" vertical="center" wrapText="1"/>
    </xf>
    <xf numFmtId="166" fontId="6" fillId="2" borderId="5" xfId="0" quotePrefix="1" applyNumberFormat="1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top" wrapText="1"/>
    </xf>
    <xf numFmtId="0" fontId="7" fillId="2" borderId="5" xfId="0" quotePrefix="1" applyFont="1" applyFill="1" applyBorder="1" applyAlignment="1">
      <alignment horizontal="center" vertical="top" wrapText="1"/>
    </xf>
    <xf numFmtId="17" fontId="6" fillId="2" borderId="5" xfId="0" quotePrefix="1" applyNumberFormat="1" applyFont="1" applyFill="1" applyBorder="1" applyAlignment="1">
      <alignment horizontal="center" vertical="center"/>
    </xf>
    <xf numFmtId="166" fontId="6" fillId="2" borderId="5" xfId="0" quotePrefix="1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center" vertical="top" wrapText="1"/>
    </xf>
    <xf numFmtId="0" fontId="7" fillId="2" borderId="5" xfId="0" quotePrefix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center" vertical="center" wrapText="1" shrinkToFit="1"/>
    </xf>
    <xf numFmtId="43" fontId="7" fillId="2" borderId="5" xfId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 shrinkToFit="1"/>
    </xf>
    <xf numFmtId="165" fontId="6" fillId="2" borderId="5" xfId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 shrinkToFit="1"/>
    </xf>
    <xf numFmtId="4" fontId="6" fillId="2" borderId="5" xfId="0" applyNumberFormat="1" applyFont="1" applyFill="1" applyBorder="1" applyAlignment="1">
      <alignment horizontal="center" vertical="center" wrapText="1" shrinkToFit="1"/>
    </xf>
    <xf numFmtId="4" fontId="7" fillId="2" borderId="5" xfId="0" applyNumberFormat="1" applyFont="1" applyFill="1" applyBorder="1" applyAlignment="1">
      <alignment horizontal="center" vertical="center" wrapText="1" shrinkToFit="1"/>
    </xf>
    <xf numFmtId="165" fontId="6" fillId="2" borderId="5" xfId="0" applyNumberFormat="1" applyFont="1" applyFill="1" applyBorder="1" applyAlignment="1">
      <alignment horizontal="center" vertical="center" wrapText="1" shrinkToFit="1"/>
    </xf>
    <xf numFmtId="4" fontId="7" fillId="2" borderId="8" xfId="0" applyNumberFormat="1" applyFont="1" applyFill="1" applyBorder="1" applyAlignment="1">
      <alignment horizontal="center" vertical="center" wrapText="1" shrinkToFit="1"/>
    </xf>
    <xf numFmtId="49" fontId="7" fillId="2" borderId="5" xfId="0" applyNumberFormat="1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wrapText="1"/>
    </xf>
    <xf numFmtId="2" fontId="6" fillId="2" borderId="5" xfId="0" applyNumberFormat="1" applyFont="1" applyFill="1" applyBorder="1" applyAlignment="1">
      <alignment horizontal="center" vertical="center"/>
    </xf>
    <xf numFmtId="166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 wrapText="1"/>
    </xf>
    <xf numFmtId="166" fontId="6" fillId="2" borderId="5" xfId="0" applyNumberFormat="1" applyFont="1" applyFill="1" applyBorder="1" applyAlignment="1">
      <alignment horizontal="left" vertical="top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top"/>
    </xf>
    <xf numFmtId="49" fontId="6" fillId="2" borderId="9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9" xfId="0" applyNumberFormat="1" applyFont="1" applyFill="1" applyBorder="1" applyAlignment="1" applyProtection="1">
      <alignment horizontal="center" vertical="center" wrapText="1"/>
    </xf>
    <xf numFmtId="165" fontId="7" fillId="2" borderId="10" xfId="0" applyNumberFormat="1" applyFont="1" applyFill="1" applyBorder="1" applyAlignment="1" applyProtection="1">
      <alignment horizontal="center" vertical="center" wrapText="1"/>
    </xf>
    <xf numFmtId="165" fontId="6" fillId="2" borderId="10" xfId="0" applyNumberFormat="1" applyFont="1" applyFill="1" applyBorder="1" applyAlignment="1" applyProtection="1">
      <alignment horizontal="center" vertical="center" wrapText="1"/>
    </xf>
    <xf numFmtId="49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5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22" xfId="0" applyNumberFormat="1" applyFont="1" applyFill="1" applyBorder="1" applyAlignment="1" applyProtection="1">
      <alignment horizontal="center" vertical="center" wrapText="1"/>
    </xf>
    <xf numFmtId="166" fontId="6" fillId="2" borderId="2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 applyProtection="1">
      <alignment horizontal="center" vertical="center" wrapText="1"/>
    </xf>
    <xf numFmtId="49" fontId="6" fillId="2" borderId="8" xfId="2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 applyProtection="1">
      <alignment horizontal="center" vertical="center" wrapText="1"/>
    </xf>
    <xf numFmtId="167" fontId="6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 applyProtection="1">
      <alignment horizontal="left" vertical="center" wrapText="1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49" fontId="7" fillId="2" borderId="25" xfId="0" applyNumberFormat="1" applyFont="1" applyFill="1" applyBorder="1" applyAlignment="1" applyProtection="1">
      <alignment horizontal="left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 applyProtection="1">
      <alignment horizontal="left" vertical="center" wrapText="1"/>
    </xf>
    <xf numFmtId="49" fontId="6" fillId="2" borderId="19" xfId="0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left" vertical="center" wrapText="1" shrinkToFit="1"/>
    </xf>
    <xf numFmtId="0" fontId="7" fillId="2" borderId="7" xfId="0" applyFont="1" applyFill="1" applyBorder="1" applyAlignment="1">
      <alignment horizontal="left" vertical="center" wrapText="1" shrinkToFi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49" fontId="6" fillId="2" borderId="22" xfId="0" applyNumberFormat="1" applyFont="1" applyFill="1" applyBorder="1" applyAlignment="1" applyProtection="1">
      <alignment horizontal="center" vertical="center" wrapText="1"/>
    </xf>
    <xf numFmtId="49" fontId="6" fillId="2" borderId="23" xfId="0" applyNumberFormat="1" applyFont="1" applyFill="1" applyBorder="1" applyAlignment="1" applyProtection="1">
      <alignment horizontal="center" vertical="center" wrapText="1"/>
    </xf>
    <xf numFmtId="49" fontId="6" fillId="2" borderId="24" xfId="0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49" fontId="7" fillId="2" borderId="10" xfId="0" applyNumberFormat="1" applyFont="1" applyFill="1" applyBorder="1" applyAlignment="1" applyProtection="1">
      <alignment horizontal="left" vertical="center" wrapText="1"/>
    </xf>
    <xf numFmtId="49" fontId="7" fillId="2" borderId="20" xfId="0" applyNumberFormat="1" applyFont="1" applyFill="1" applyBorder="1" applyAlignment="1" applyProtection="1">
      <alignment horizontal="left" vertical="center" wrapText="1"/>
    </xf>
    <xf numFmtId="49" fontId="7" fillId="2" borderId="21" xfId="0" applyNumberFormat="1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12" xfId="2" applyNumberFormat="1" applyFont="1" applyFill="1" applyBorder="1" applyAlignment="1">
      <alignment horizontal="center" vertical="center" wrapText="1"/>
    </xf>
    <xf numFmtId="49" fontId="6" fillId="2" borderId="17" xfId="2" applyNumberFormat="1" applyFont="1" applyFill="1" applyBorder="1" applyAlignment="1">
      <alignment horizontal="center" vertical="center" wrapText="1"/>
    </xf>
    <xf numFmtId="49" fontId="6" fillId="2" borderId="18" xfId="2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 wrapText="1"/>
    </xf>
    <xf numFmtId="49" fontId="6" fillId="2" borderId="4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439"/>
  <sheetViews>
    <sheetView tabSelected="1" zoomScale="81" zoomScaleNormal="81" zoomScaleSheetLayoutView="73" workbookViewId="0">
      <selection activeCell="R13" sqref="R13"/>
    </sheetView>
  </sheetViews>
  <sheetFormatPr defaultColWidth="9.140625" defaultRowHeight="15" x14ac:dyDescent="0.25"/>
  <cols>
    <col min="1" max="1" width="4.85546875" style="1" customWidth="1"/>
    <col min="2" max="2" width="30" style="1" customWidth="1"/>
    <col min="3" max="3" width="36.28515625" style="1" customWidth="1"/>
    <col min="4" max="4" width="55.28515625" style="1" customWidth="1"/>
    <col min="5" max="5" width="18.42578125" style="1" customWidth="1"/>
    <col min="6" max="6" width="15.42578125" style="4" customWidth="1"/>
    <col min="7" max="7" width="14.42578125" style="1" customWidth="1"/>
    <col min="8" max="8" width="13.28515625" style="1" customWidth="1"/>
    <col min="9" max="9" width="15" style="1" customWidth="1"/>
    <col min="10" max="10" width="13.5703125" style="1" customWidth="1"/>
    <col min="11" max="11" width="16.5703125" style="1" customWidth="1"/>
    <col min="12" max="16384" width="9.140625" style="1"/>
  </cols>
  <sheetData>
    <row r="1" spans="1:11" ht="18.600000000000001" customHeight="1" x14ac:dyDescent="0.25"/>
    <row r="2" spans="1:11" s="5" customFormat="1" ht="21" customHeight="1" x14ac:dyDescent="0.25">
      <c r="A2" s="210" t="s">
        <v>11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1" s="6" customFormat="1" ht="24" customHeight="1" x14ac:dyDescent="0.25">
      <c r="A3" s="161" t="s">
        <v>0</v>
      </c>
      <c r="B3" s="161" t="s">
        <v>16</v>
      </c>
      <c r="C3" s="208" t="s">
        <v>1</v>
      </c>
      <c r="D3" s="209"/>
      <c r="E3" s="211" t="s">
        <v>3</v>
      </c>
      <c r="F3" s="212" t="s">
        <v>4</v>
      </c>
      <c r="G3" s="211" t="s">
        <v>19</v>
      </c>
      <c r="H3" s="211"/>
      <c r="I3" s="211"/>
      <c r="J3" s="211"/>
      <c r="K3" s="211" t="s">
        <v>10</v>
      </c>
    </row>
    <row r="4" spans="1:11" s="6" customFormat="1" ht="26.25" customHeight="1" x14ac:dyDescent="0.25">
      <c r="A4" s="162"/>
      <c r="B4" s="162"/>
      <c r="C4" s="211" t="s">
        <v>17</v>
      </c>
      <c r="D4" s="161" t="s">
        <v>2</v>
      </c>
      <c r="E4" s="211"/>
      <c r="F4" s="212"/>
      <c r="G4" s="211" t="s">
        <v>5</v>
      </c>
      <c r="H4" s="211" t="s">
        <v>6</v>
      </c>
      <c r="I4" s="211"/>
      <c r="J4" s="211" t="s">
        <v>9</v>
      </c>
      <c r="K4" s="211"/>
    </row>
    <row r="5" spans="1:11" s="6" customFormat="1" ht="40.5" customHeight="1" x14ac:dyDescent="0.25">
      <c r="A5" s="163"/>
      <c r="B5" s="163"/>
      <c r="C5" s="211"/>
      <c r="D5" s="163"/>
      <c r="E5" s="211"/>
      <c r="F5" s="212"/>
      <c r="G5" s="211"/>
      <c r="H5" s="2" t="s">
        <v>7</v>
      </c>
      <c r="I5" s="2" t="s">
        <v>8</v>
      </c>
      <c r="J5" s="211"/>
      <c r="K5" s="211"/>
    </row>
    <row r="6" spans="1:11" s="6" customFormat="1" ht="15" customHeight="1" x14ac:dyDescent="0.25">
      <c r="A6" s="2">
        <v>1</v>
      </c>
      <c r="B6" s="7">
        <v>2</v>
      </c>
      <c r="C6" s="8" t="s">
        <v>12</v>
      </c>
      <c r="D6" s="8" t="s">
        <v>13</v>
      </c>
      <c r="E6" s="8" t="s">
        <v>18</v>
      </c>
      <c r="F6" s="9">
        <v>6</v>
      </c>
      <c r="G6" s="9">
        <v>7</v>
      </c>
      <c r="H6" s="2">
        <v>8</v>
      </c>
      <c r="I6" s="2">
        <v>9</v>
      </c>
      <c r="J6" s="2">
        <v>10</v>
      </c>
      <c r="K6" s="10" t="s">
        <v>14</v>
      </c>
    </row>
    <row r="7" spans="1:11" s="6" customFormat="1" ht="90" customHeight="1" x14ac:dyDescent="0.25">
      <c r="A7" s="2">
        <v>1</v>
      </c>
      <c r="B7" s="11" t="s">
        <v>22</v>
      </c>
      <c r="C7" s="12" t="s">
        <v>29</v>
      </c>
      <c r="D7" s="10" t="s">
        <v>31</v>
      </c>
      <c r="E7" s="14" t="s">
        <v>23</v>
      </c>
      <c r="F7" s="15">
        <f>G7+H7+I7</f>
        <v>663375</v>
      </c>
      <c r="G7" s="16">
        <v>0</v>
      </c>
      <c r="H7" s="17">
        <v>217500</v>
      </c>
      <c r="I7" s="17">
        <v>445875</v>
      </c>
      <c r="J7" s="18">
        <v>0</v>
      </c>
      <c r="K7" s="19" t="s">
        <v>30</v>
      </c>
    </row>
    <row r="8" spans="1:11" s="6" customFormat="1" ht="23.45" customHeight="1" x14ac:dyDescent="0.25">
      <c r="A8" s="194" t="s">
        <v>15</v>
      </c>
      <c r="B8" s="186"/>
      <c r="C8" s="187"/>
      <c r="D8" s="20" t="s">
        <v>24</v>
      </c>
      <c r="E8" s="21" t="s">
        <v>24</v>
      </c>
      <c r="F8" s="22">
        <f>H8+I8</f>
        <v>663375</v>
      </c>
      <c r="G8" s="16">
        <v>0</v>
      </c>
      <c r="H8" s="22">
        <f>H7</f>
        <v>217500</v>
      </c>
      <c r="I8" s="22">
        <f t="shared" ref="I8" si="0">I7</f>
        <v>445875</v>
      </c>
      <c r="J8" s="18">
        <v>0</v>
      </c>
      <c r="K8" s="21" t="s">
        <v>24</v>
      </c>
    </row>
    <row r="9" spans="1:11" s="6" customFormat="1" ht="68.45" customHeight="1" x14ac:dyDescent="0.25">
      <c r="A9" s="2">
        <v>1</v>
      </c>
      <c r="B9" s="11" t="s">
        <v>22</v>
      </c>
      <c r="C9" s="23" t="s">
        <v>27</v>
      </c>
      <c r="D9" s="8" t="s">
        <v>32</v>
      </c>
      <c r="E9" s="8" t="s">
        <v>26</v>
      </c>
      <c r="F9" s="15">
        <f>G9+H9+I9</f>
        <v>14025.9</v>
      </c>
      <c r="G9" s="16">
        <v>0</v>
      </c>
      <c r="H9" s="16">
        <v>0</v>
      </c>
      <c r="I9" s="17">
        <v>14025.9</v>
      </c>
      <c r="J9" s="18">
        <v>0</v>
      </c>
      <c r="K9" s="19" t="s">
        <v>25</v>
      </c>
    </row>
    <row r="10" spans="1:11" s="6" customFormat="1" ht="90.6" customHeight="1" x14ac:dyDescent="0.25">
      <c r="A10" s="2">
        <v>2</v>
      </c>
      <c r="B10" s="25" t="s">
        <v>22</v>
      </c>
      <c r="C10" s="26" t="s">
        <v>28</v>
      </c>
      <c r="D10" s="2" t="s">
        <v>31</v>
      </c>
      <c r="E10" s="14" t="s">
        <v>23</v>
      </c>
      <c r="F10" s="15">
        <f>G10+H10+I10</f>
        <v>4656.6000000000004</v>
      </c>
      <c r="G10" s="16">
        <v>0</v>
      </c>
      <c r="H10" s="16">
        <v>0</v>
      </c>
      <c r="I10" s="17">
        <v>4656.6000000000004</v>
      </c>
      <c r="J10" s="18">
        <v>0</v>
      </c>
      <c r="K10" s="19" t="s">
        <v>25</v>
      </c>
    </row>
    <row r="11" spans="1:11" s="6" customFormat="1" ht="31.9" customHeight="1" x14ac:dyDescent="0.25">
      <c r="A11" s="207" t="s">
        <v>20</v>
      </c>
      <c r="B11" s="207"/>
      <c r="C11" s="207"/>
      <c r="D11" s="20" t="s">
        <v>24</v>
      </c>
      <c r="E11" s="21" t="s">
        <v>24</v>
      </c>
      <c r="F11" s="22">
        <f>SUM(F9:F10)</f>
        <v>18682.5</v>
      </c>
      <c r="G11" s="16">
        <v>0</v>
      </c>
      <c r="H11" s="16">
        <v>0</v>
      </c>
      <c r="I11" s="22">
        <f>SUM(I9:I10)</f>
        <v>18682.5</v>
      </c>
      <c r="J11" s="18">
        <v>0</v>
      </c>
      <c r="K11" s="21" t="s">
        <v>24</v>
      </c>
    </row>
    <row r="12" spans="1:11" s="30" customFormat="1" ht="42" customHeight="1" x14ac:dyDescent="0.25">
      <c r="A12" s="2">
        <v>1</v>
      </c>
      <c r="B12" s="161" t="s">
        <v>33</v>
      </c>
      <c r="C12" s="28" t="s">
        <v>34</v>
      </c>
      <c r="D12" s="10" t="s">
        <v>35</v>
      </c>
      <c r="E12" s="10" t="s">
        <v>36</v>
      </c>
      <c r="F12" s="29">
        <f>G12+H12+I12+J12</f>
        <v>231.35</v>
      </c>
      <c r="G12" s="29">
        <v>0</v>
      </c>
      <c r="H12" s="29">
        <v>231.35</v>
      </c>
      <c r="I12" s="29">
        <v>0</v>
      </c>
      <c r="J12" s="29">
        <v>0</v>
      </c>
      <c r="K12" s="28" t="s">
        <v>37</v>
      </c>
    </row>
    <row r="13" spans="1:11" s="30" customFormat="1" ht="42" customHeight="1" x14ac:dyDescent="0.25">
      <c r="A13" s="2">
        <v>2</v>
      </c>
      <c r="B13" s="162"/>
      <c r="C13" s="28" t="s">
        <v>38</v>
      </c>
      <c r="D13" s="10" t="s">
        <v>39</v>
      </c>
      <c r="E13" s="10" t="s">
        <v>36</v>
      </c>
      <c r="F13" s="29">
        <f t="shared" ref="F13:F76" si="1">G13+H13+I13+J13</f>
        <v>266.39999999999998</v>
      </c>
      <c r="G13" s="29">
        <v>0</v>
      </c>
      <c r="H13" s="29">
        <v>266.39999999999998</v>
      </c>
      <c r="I13" s="29">
        <v>0</v>
      </c>
      <c r="J13" s="29">
        <v>0</v>
      </c>
      <c r="K13" s="28" t="s">
        <v>37</v>
      </c>
    </row>
    <row r="14" spans="1:11" s="30" customFormat="1" ht="39" customHeight="1" x14ac:dyDescent="0.25">
      <c r="A14" s="2">
        <v>3</v>
      </c>
      <c r="B14" s="162"/>
      <c r="C14" s="28" t="s">
        <v>40</v>
      </c>
      <c r="D14" s="10" t="s">
        <v>41</v>
      </c>
      <c r="E14" s="10" t="s">
        <v>36</v>
      </c>
      <c r="F14" s="29">
        <f t="shared" si="1"/>
        <v>119.08</v>
      </c>
      <c r="G14" s="29">
        <v>0</v>
      </c>
      <c r="H14" s="29">
        <v>119.08</v>
      </c>
      <c r="I14" s="29">
        <v>0</v>
      </c>
      <c r="J14" s="29">
        <v>0</v>
      </c>
      <c r="K14" s="28" t="s">
        <v>37</v>
      </c>
    </row>
    <row r="15" spans="1:11" s="30" customFormat="1" ht="35.450000000000003" customHeight="1" x14ac:dyDescent="0.25">
      <c r="A15" s="2">
        <v>4</v>
      </c>
      <c r="B15" s="162"/>
      <c r="C15" s="28" t="s">
        <v>42</v>
      </c>
      <c r="D15" s="10" t="s">
        <v>43</v>
      </c>
      <c r="E15" s="10" t="s">
        <v>36</v>
      </c>
      <c r="F15" s="29">
        <f t="shared" si="1"/>
        <v>221.8</v>
      </c>
      <c r="G15" s="29">
        <v>0</v>
      </c>
      <c r="H15" s="29">
        <v>221.8</v>
      </c>
      <c r="I15" s="29">
        <v>0</v>
      </c>
      <c r="J15" s="29">
        <v>0</v>
      </c>
      <c r="K15" s="28" t="s">
        <v>37</v>
      </c>
    </row>
    <row r="16" spans="1:11" s="30" customFormat="1" ht="58.9" customHeight="1" x14ac:dyDescent="0.25">
      <c r="A16" s="2">
        <v>5</v>
      </c>
      <c r="B16" s="162"/>
      <c r="C16" s="28" t="s">
        <v>44</v>
      </c>
      <c r="D16" s="10" t="s">
        <v>45</v>
      </c>
      <c r="E16" s="10" t="s">
        <v>23</v>
      </c>
      <c r="F16" s="29">
        <f t="shared" si="1"/>
        <v>976602.11</v>
      </c>
      <c r="G16" s="29">
        <v>471387.1</v>
      </c>
      <c r="H16" s="29">
        <v>449876.88</v>
      </c>
      <c r="I16" s="29">
        <v>55338.13</v>
      </c>
      <c r="J16" s="29">
        <v>0</v>
      </c>
      <c r="K16" s="28" t="s">
        <v>37</v>
      </c>
    </row>
    <row r="17" spans="1:11" s="30" customFormat="1" ht="30" x14ac:dyDescent="0.25">
      <c r="A17" s="2">
        <v>6</v>
      </c>
      <c r="B17" s="162"/>
      <c r="C17" s="28" t="s">
        <v>46</v>
      </c>
      <c r="D17" s="10" t="s">
        <v>47</v>
      </c>
      <c r="E17" s="10" t="s">
        <v>23</v>
      </c>
      <c r="F17" s="29">
        <f t="shared" si="1"/>
        <v>52741.82</v>
      </c>
      <c r="G17" s="29">
        <v>52741.82</v>
      </c>
      <c r="H17" s="29">
        <v>0</v>
      </c>
      <c r="I17" s="29">
        <v>0</v>
      </c>
      <c r="J17" s="29">
        <v>0</v>
      </c>
      <c r="K17" s="28" t="s">
        <v>37</v>
      </c>
    </row>
    <row r="18" spans="1:11" s="30" customFormat="1" ht="39" customHeight="1" x14ac:dyDescent="0.25">
      <c r="A18" s="2">
        <v>7</v>
      </c>
      <c r="B18" s="162"/>
      <c r="C18" s="28" t="s">
        <v>48</v>
      </c>
      <c r="D18" s="10" t="s">
        <v>49</v>
      </c>
      <c r="E18" s="10" t="s">
        <v>36</v>
      </c>
      <c r="F18" s="29">
        <f t="shared" si="1"/>
        <v>700.04</v>
      </c>
      <c r="G18" s="29">
        <v>0.04</v>
      </c>
      <c r="H18" s="29">
        <v>700</v>
      </c>
      <c r="I18" s="29">
        <v>0</v>
      </c>
      <c r="J18" s="29">
        <v>0</v>
      </c>
      <c r="K18" s="28" t="s">
        <v>37</v>
      </c>
    </row>
    <row r="19" spans="1:11" s="30" customFormat="1" ht="37.15" customHeight="1" x14ac:dyDescent="0.25">
      <c r="A19" s="2">
        <v>8</v>
      </c>
      <c r="B19" s="162"/>
      <c r="C19" s="28" t="s">
        <v>50</v>
      </c>
      <c r="D19" s="10" t="s">
        <v>51</v>
      </c>
      <c r="E19" s="10" t="s">
        <v>36</v>
      </c>
      <c r="F19" s="29">
        <f t="shared" si="1"/>
        <v>2104.4299999999998</v>
      </c>
      <c r="G19" s="29">
        <v>2104.4299999999998</v>
      </c>
      <c r="H19" s="29">
        <v>0</v>
      </c>
      <c r="I19" s="29">
        <v>0</v>
      </c>
      <c r="J19" s="29">
        <v>0</v>
      </c>
      <c r="K19" s="28" t="s">
        <v>37</v>
      </c>
    </row>
    <row r="20" spans="1:11" s="30" customFormat="1" ht="48.6" customHeight="1" x14ac:dyDescent="0.25">
      <c r="A20" s="2">
        <v>9</v>
      </c>
      <c r="B20" s="162"/>
      <c r="C20" s="28" t="s">
        <v>52</v>
      </c>
      <c r="D20" s="10" t="s">
        <v>53</v>
      </c>
      <c r="E20" s="10" t="s">
        <v>36</v>
      </c>
      <c r="F20" s="29">
        <f t="shared" si="1"/>
        <v>453.32</v>
      </c>
      <c r="G20" s="29">
        <v>453.32</v>
      </c>
      <c r="H20" s="29">
        <v>0</v>
      </c>
      <c r="I20" s="29">
        <v>0</v>
      </c>
      <c r="J20" s="29">
        <v>0</v>
      </c>
      <c r="K20" s="28" t="s">
        <v>54</v>
      </c>
    </row>
    <row r="21" spans="1:11" s="30" customFormat="1" ht="46.15" customHeight="1" x14ac:dyDescent="0.25">
      <c r="A21" s="2">
        <v>10</v>
      </c>
      <c r="B21" s="162"/>
      <c r="C21" s="28" t="s">
        <v>55</v>
      </c>
      <c r="D21" s="10" t="s">
        <v>56</v>
      </c>
      <c r="E21" s="10" t="s">
        <v>23</v>
      </c>
      <c r="F21" s="29">
        <f t="shared" si="1"/>
        <v>42807.22</v>
      </c>
      <c r="G21" s="29">
        <v>0</v>
      </c>
      <c r="H21" s="29">
        <v>42807.22</v>
      </c>
      <c r="I21" s="29">
        <v>0</v>
      </c>
      <c r="J21" s="29">
        <v>0</v>
      </c>
      <c r="K21" s="28" t="s">
        <v>37</v>
      </c>
    </row>
    <row r="22" spans="1:11" s="30" customFormat="1" ht="45.6" customHeight="1" x14ac:dyDescent="0.25">
      <c r="A22" s="2">
        <v>11</v>
      </c>
      <c r="B22" s="162"/>
      <c r="C22" s="28" t="s">
        <v>57</v>
      </c>
      <c r="D22" s="10" t="s">
        <v>58</v>
      </c>
      <c r="E22" s="10" t="s">
        <v>23</v>
      </c>
      <c r="F22" s="29">
        <f t="shared" si="1"/>
        <v>1550</v>
      </c>
      <c r="G22" s="29">
        <v>1300</v>
      </c>
      <c r="H22" s="29">
        <v>250</v>
      </c>
      <c r="I22" s="29">
        <v>0</v>
      </c>
      <c r="J22" s="29">
        <v>0</v>
      </c>
      <c r="K22" s="28" t="s">
        <v>37</v>
      </c>
    </row>
    <row r="23" spans="1:11" s="30" customFormat="1" ht="34.15" customHeight="1" x14ac:dyDescent="0.25">
      <c r="A23" s="2">
        <v>12</v>
      </c>
      <c r="B23" s="163"/>
      <c r="C23" s="28" t="s">
        <v>59</v>
      </c>
      <c r="D23" s="10" t="s">
        <v>60</v>
      </c>
      <c r="E23" s="10" t="s">
        <v>36</v>
      </c>
      <c r="F23" s="29">
        <f t="shared" si="1"/>
        <v>4158.7</v>
      </c>
      <c r="G23" s="29">
        <v>0</v>
      </c>
      <c r="H23" s="29">
        <v>4158.7</v>
      </c>
      <c r="I23" s="29">
        <v>0</v>
      </c>
      <c r="J23" s="29">
        <v>0</v>
      </c>
      <c r="K23" s="28" t="s">
        <v>37</v>
      </c>
    </row>
    <row r="24" spans="1:11" s="34" customFormat="1" ht="28.15" customHeight="1" x14ac:dyDescent="0.25">
      <c r="A24" s="172" t="s">
        <v>61</v>
      </c>
      <c r="B24" s="172"/>
      <c r="C24" s="172"/>
      <c r="D24" s="20"/>
      <c r="E24" s="20"/>
      <c r="F24" s="32">
        <f>SUM(F12:F23)</f>
        <v>1081956.27</v>
      </c>
      <c r="G24" s="33">
        <f>SUM(G12:G23)</f>
        <v>527986.71</v>
      </c>
      <c r="H24" s="33">
        <f>SUM(H12:H23)</f>
        <v>498631.43</v>
      </c>
      <c r="I24" s="33">
        <f>SUM(I12:I23)</f>
        <v>55338.13</v>
      </c>
      <c r="J24" s="33">
        <f>SUM(J12:J23)</f>
        <v>0</v>
      </c>
      <c r="K24" s="31"/>
    </row>
    <row r="25" spans="1:11" s="30" customFormat="1" ht="37.15" customHeight="1" x14ac:dyDescent="0.25">
      <c r="A25" s="2">
        <v>1</v>
      </c>
      <c r="B25" s="161" t="s">
        <v>33</v>
      </c>
      <c r="C25" s="28" t="s">
        <v>62</v>
      </c>
      <c r="D25" s="10" t="s">
        <v>35</v>
      </c>
      <c r="E25" s="10" t="s">
        <v>36</v>
      </c>
      <c r="F25" s="29">
        <f t="shared" si="1"/>
        <v>231.35</v>
      </c>
      <c r="G25" s="29">
        <v>0</v>
      </c>
      <c r="H25" s="29">
        <v>0</v>
      </c>
      <c r="I25" s="29">
        <v>231.35</v>
      </c>
      <c r="J25" s="29">
        <v>0</v>
      </c>
      <c r="K25" s="28" t="s">
        <v>63</v>
      </c>
    </row>
    <row r="26" spans="1:11" s="30" customFormat="1" ht="39" customHeight="1" x14ac:dyDescent="0.25">
      <c r="A26" s="2">
        <v>2</v>
      </c>
      <c r="B26" s="162"/>
      <c r="C26" s="28" t="s">
        <v>64</v>
      </c>
      <c r="D26" s="10" t="s">
        <v>39</v>
      </c>
      <c r="E26" s="10" t="s">
        <v>36</v>
      </c>
      <c r="F26" s="29">
        <f t="shared" si="1"/>
        <v>266.39999999999998</v>
      </c>
      <c r="G26" s="29">
        <v>0</v>
      </c>
      <c r="H26" s="29">
        <v>0</v>
      </c>
      <c r="I26" s="29">
        <v>266.39999999999998</v>
      </c>
      <c r="J26" s="29">
        <v>0</v>
      </c>
      <c r="K26" s="28" t="s">
        <v>65</v>
      </c>
    </row>
    <row r="27" spans="1:11" s="30" customFormat="1" ht="38.450000000000003" customHeight="1" x14ac:dyDescent="0.25">
      <c r="A27" s="2">
        <v>3</v>
      </c>
      <c r="B27" s="162"/>
      <c r="C27" s="28" t="s">
        <v>66</v>
      </c>
      <c r="D27" s="10" t="s">
        <v>41</v>
      </c>
      <c r="E27" s="10" t="s">
        <v>36</v>
      </c>
      <c r="F27" s="29">
        <f t="shared" si="1"/>
        <v>119.08</v>
      </c>
      <c r="G27" s="29">
        <v>0</v>
      </c>
      <c r="H27" s="29">
        <v>0</v>
      </c>
      <c r="I27" s="29">
        <v>119.08</v>
      </c>
      <c r="J27" s="29">
        <v>0</v>
      </c>
      <c r="K27" s="28" t="s">
        <v>63</v>
      </c>
    </row>
    <row r="28" spans="1:11" s="30" customFormat="1" ht="34.15" customHeight="1" x14ac:dyDescent="0.25">
      <c r="A28" s="2">
        <v>4</v>
      </c>
      <c r="B28" s="162"/>
      <c r="C28" s="28" t="s">
        <v>67</v>
      </c>
      <c r="D28" s="10" t="s">
        <v>43</v>
      </c>
      <c r="E28" s="10" t="s">
        <v>36</v>
      </c>
      <c r="F28" s="29">
        <f t="shared" si="1"/>
        <v>221.8</v>
      </c>
      <c r="G28" s="29">
        <v>0</v>
      </c>
      <c r="H28" s="29">
        <v>0</v>
      </c>
      <c r="I28" s="29">
        <v>221.8</v>
      </c>
      <c r="J28" s="29">
        <v>0</v>
      </c>
      <c r="K28" s="28" t="s">
        <v>65</v>
      </c>
    </row>
    <row r="29" spans="1:11" s="30" customFormat="1" ht="37.15" customHeight="1" x14ac:dyDescent="0.25">
      <c r="A29" s="2">
        <v>5</v>
      </c>
      <c r="B29" s="162"/>
      <c r="C29" s="28" t="s">
        <v>68</v>
      </c>
      <c r="D29" s="10" t="s">
        <v>69</v>
      </c>
      <c r="E29" s="10" t="s">
        <v>36</v>
      </c>
      <c r="F29" s="29">
        <f t="shared" si="1"/>
        <v>325.67</v>
      </c>
      <c r="G29" s="29">
        <v>0</v>
      </c>
      <c r="H29" s="29">
        <v>325.67</v>
      </c>
      <c r="I29" s="29">
        <v>0</v>
      </c>
      <c r="J29" s="29">
        <v>0</v>
      </c>
      <c r="K29" s="28" t="s">
        <v>63</v>
      </c>
    </row>
    <row r="30" spans="1:11" s="30" customFormat="1" ht="40.9" customHeight="1" x14ac:dyDescent="0.25">
      <c r="A30" s="2">
        <v>6</v>
      </c>
      <c r="B30" s="162"/>
      <c r="C30" s="28" t="s">
        <v>70</v>
      </c>
      <c r="D30" s="10" t="s">
        <v>71</v>
      </c>
      <c r="E30" s="10" t="s">
        <v>36</v>
      </c>
      <c r="F30" s="29">
        <f t="shared" si="1"/>
        <v>34.15</v>
      </c>
      <c r="G30" s="29">
        <v>0</v>
      </c>
      <c r="H30" s="29">
        <v>34.15</v>
      </c>
      <c r="I30" s="29">
        <v>0</v>
      </c>
      <c r="J30" s="29">
        <v>0</v>
      </c>
      <c r="K30" s="28" t="s">
        <v>63</v>
      </c>
    </row>
    <row r="31" spans="1:11" s="30" customFormat="1" ht="37.15" customHeight="1" x14ac:dyDescent="0.25">
      <c r="A31" s="2">
        <v>7</v>
      </c>
      <c r="B31" s="162"/>
      <c r="C31" s="28" t="s">
        <v>72</v>
      </c>
      <c r="D31" s="10" t="s">
        <v>49</v>
      </c>
      <c r="E31" s="10" t="s">
        <v>36</v>
      </c>
      <c r="F31" s="29">
        <f t="shared" si="1"/>
        <v>1100</v>
      </c>
      <c r="G31" s="29">
        <v>0</v>
      </c>
      <c r="H31" s="29">
        <v>400</v>
      </c>
      <c r="I31" s="29">
        <v>700</v>
      </c>
      <c r="J31" s="29">
        <v>0</v>
      </c>
      <c r="K31" s="28" t="s">
        <v>73</v>
      </c>
    </row>
    <row r="32" spans="1:11" s="30" customFormat="1" ht="30" customHeight="1" x14ac:dyDescent="0.25">
      <c r="A32" s="2">
        <v>8</v>
      </c>
      <c r="B32" s="162"/>
      <c r="C32" s="28" t="s">
        <v>74</v>
      </c>
      <c r="D32" s="10" t="s">
        <v>51</v>
      </c>
      <c r="E32" s="10" t="s">
        <v>36</v>
      </c>
      <c r="F32" s="29">
        <f t="shared" si="1"/>
        <v>4390.28</v>
      </c>
      <c r="G32" s="29">
        <v>0</v>
      </c>
      <c r="H32" s="29">
        <v>4390.28</v>
      </c>
      <c r="I32" s="29">
        <v>0</v>
      </c>
      <c r="J32" s="29">
        <v>0</v>
      </c>
      <c r="K32" s="28" t="s">
        <v>75</v>
      </c>
    </row>
    <row r="33" spans="1:11" s="30" customFormat="1" ht="30" customHeight="1" x14ac:dyDescent="0.25">
      <c r="A33" s="2">
        <v>9</v>
      </c>
      <c r="B33" s="162"/>
      <c r="C33" s="28" t="s">
        <v>76</v>
      </c>
      <c r="D33" s="10" t="s">
        <v>77</v>
      </c>
      <c r="E33" s="10" t="s">
        <v>36</v>
      </c>
      <c r="F33" s="29">
        <f t="shared" si="1"/>
        <v>730</v>
      </c>
      <c r="G33" s="29">
        <v>0</v>
      </c>
      <c r="H33" s="29">
        <v>730</v>
      </c>
      <c r="I33" s="29">
        <v>0</v>
      </c>
      <c r="J33" s="29">
        <v>0</v>
      </c>
      <c r="K33" s="28" t="s">
        <v>73</v>
      </c>
    </row>
    <row r="34" spans="1:11" s="30" customFormat="1" ht="45" x14ac:dyDescent="0.25">
      <c r="A34" s="2">
        <v>10</v>
      </c>
      <c r="B34" s="162"/>
      <c r="C34" s="28" t="s">
        <v>78</v>
      </c>
      <c r="D34" s="10" t="s">
        <v>53</v>
      </c>
      <c r="E34" s="10" t="s">
        <v>23</v>
      </c>
      <c r="F34" s="29">
        <f t="shared" si="1"/>
        <v>2700</v>
      </c>
      <c r="G34" s="29">
        <v>0</v>
      </c>
      <c r="H34" s="29">
        <v>2700</v>
      </c>
      <c r="I34" s="29">
        <v>0</v>
      </c>
      <c r="J34" s="29">
        <v>0</v>
      </c>
      <c r="K34" s="28" t="s">
        <v>73</v>
      </c>
    </row>
    <row r="35" spans="1:11" s="30" customFormat="1" ht="45" x14ac:dyDescent="0.25">
      <c r="A35" s="2">
        <v>11</v>
      </c>
      <c r="B35" s="162"/>
      <c r="C35" s="28" t="s">
        <v>79</v>
      </c>
      <c r="D35" s="10" t="s">
        <v>80</v>
      </c>
      <c r="E35" s="10" t="s">
        <v>23</v>
      </c>
      <c r="F35" s="29">
        <f t="shared" si="1"/>
        <v>7011.23</v>
      </c>
      <c r="G35" s="29">
        <v>0</v>
      </c>
      <c r="H35" s="29">
        <v>7011.23</v>
      </c>
      <c r="I35" s="29">
        <v>0</v>
      </c>
      <c r="J35" s="29">
        <v>0</v>
      </c>
      <c r="K35" s="28" t="s">
        <v>75</v>
      </c>
    </row>
    <row r="36" spans="1:11" s="30" customFormat="1" ht="45" x14ac:dyDescent="0.25">
      <c r="A36" s="2">
        <v>12</v>
      </c>
      <c r="B36" s="162"/>
      <c r="C36" s="28" t="s">
        <v>81</v>
      </c>
      <c r="D36" s="10" t="s">
        <v>82</v>
      </c>
      <c r="E36" s="10" t="s">
        <v>23</v>
      </c>
      <c r="F36" s="29">
        <f t="shared" si="1"/>
        <v>1410</v>
      </c>
      <c r="G36" s="29">
        <v>0</v>
      </c>
      <c r="H36" s="29">
        <v>1410</v>
      </c>
      <c r="I36" s="29">
        <v>0</v>
      </c>
      <c r="J36" s="29">
        <v>0</v>
      </c>
      <c r="K36" s="28" t="s">
        <v>75</v>
      </c>
    </row>
    <row r="37" spans="1:11" s="30" customFormat="1" ht="45" customHeight="1" x14ac:dyDescent="0.25">
      <c r="A37" s="2">
        <v>13</v>
      </c>
      <c r="B37" s="162"/>
      <c r="C37" s="28" t="s">
        <v>83</v>
      </c>
      <c r="D37" s="10" t="s">
        <v>84</v>
      </c>
      <c r="E37" s="10" t="s">
        <v>23</v>
      </c>
      <c r="F37" s="29">
        <f t="shared" si="1"/>
        <v>1000</v>
      </c>
      <c r="G37" s="29">
        <v>0</v>
      </c>
      <c r="H37" s="29">
        <v>1000</v>
      </c>
      <c r="I37" s="29">
        <v>0</v>
      </c>
      <c r="J37" s="29">
        <v>0</v>
      </c>
      <c r="K37" s="28" t="s">
        <v>75</v>
      </c>
    </row>
    <row r="38" spans="1:11" s="30" customFormat="1" ht="42" customHeight="1" x14ac:dyDescent="0.25">
      <c r="A38" s="2">
        <v>14</v>
      </c>
      <c r="B38" s="162"/>
      <c r="C38" s="28" t="s">
        <v>85</v>
      </c>
      <c r="D38" s="10" t="s">
        <v>86</v>
      </c>
      <c r="E38" s="10" t="s">
        <v>36</v>
      </c>
      <c r="F38" s="29">
        <f t="shared" si="1"/>
        <v>1000</v>
      </c>
      <c r="G38" s="29">
        <v>0</v>
      </c>
      <c r="H38" s="29">
        <v>1000</v>
      </c>
      <c r="I38" s="29">
        <v>0</v>
      </c>
      <c r="J38" s="29">
        <v>0</v>
      </c>
      <c r="K38" s="28" t="s">
        <v>73</v>
      </c>
    </row>
    <row r="39" spans="1:11" s="30" customFormat="1" ht="39" customHeight="1" x14ac:dyDescent="0.25">
      <c r="A39" s="2">
        <v>15</v>
      </c>
      <c r="B39" s="162"/>
      <c r="C39" s="28" t="s">
        <v>87</v>
      </c>
      <c r="D39" s="10" t="s">
        <v>88</v>
      </c>
      <c r="E39" s="10" t="s">
        <v>36</v>
      </c>
      <c r="F39" s="29">
        <f t="shared" si="1"/>
        <v>500</v>
      </c>
      <c r="G39" s="29">
        <v>0</v>
      </c>
      <c r="H39" s="29">
        <v>500</v>
      </c>
      <c r="I39" s="29">
        <v>0</v>
      </c>
      <c r="J39" s="29">
        <v>0</v>
      </c>
      <c r="K39" s="28" t="s">
        <v>73</v>
      </c>
    </row>
    <row r="40" spans="1:11" s="30" customFormat="1" ht="45" x14ac:dyDescent="0.25">
      <c r="A40" s="2">
        <v>16</v>
      </c>
      <c r="B40" s="162"/>
      <c r="C40" s="28" t="s">
        <v>89</v>
      </c>
      <c r="D40" s="10" t="s">
        <v>58</v>
      </c>
      <c r="E40" s="10" t="s">
        <v>36</v>
      </c>
      <c r="F40" s="29">
        <f t="shared" si="1"/>
        <v>4000</v>
      </c>
      <c r="G40" s="29">
        <v>0</v>
      </c>
      <c r="H40" s="29">
        <v>3750</v>
      </c>
      <c r="I40" s="29">
        <v>250</v>
      </c>
      <c r="J40" s="29">
        <v>0</v>
      </c>
      <c r="K40" s="28" t="s">
        <v>73</v>
      </c>
    </row>
    <row r="41" spans="1:11" s="30" customFormat="1" ht="36" customHeight="1" x14ac:dyDescent="0.25">
      <c r="A41" s="2">
        <v>17</v>
      </c>
      <c r="B41" s="162"/>
      <c r="C41" s="28" t="s">
        <v>90</v>
      </c>
      <c r="D41" s="10" t="s">
        <v>91</v>
      </c>
      <c r="E41" s="10" t="s">
        <v>36</v>
      </c>
      <c r="F41" s="29">
        <f t="shared" si="1"/>
        <v>600</v>
      </c>
      <c r="G41" s="29">
        <v>0</v>
      </c>
      <c r="H41" s="29">
        <v>600</v>
      </c>
      <c r="I41" s="29">
        <v>0</v>
      </c>
      <c r="J41" s="29">
        <v>0</v>
      </c>
      <c r="K41" s="28" t="s">
        <v>73</v>
      </c>
    </row>
    <row r="42" spans="1:11" s="30" customFormat="1" ht="33.6" customHeight="1" x14ac:dyDescent="0.25">
      <c r="A42" s="2">
        <v>18</v>
      </c>
      <c r="B42" s="162"/>
      <c r="C42" s="28" t="s">
        <v>92</v>
      </c>
      <c r="D42" s="10" t="s">
        <v>93</v>
      </c>
      <c r="E42" s="10" t="s">
        <v>36</v>
      </c>
      <c r="F42" s="29">
        <f t="shared" si="1"/>
        <v>800</v>
      </c>
      <c r="G42" s="29">
        <v>0</v>
      </c>
      <c r="H42" s="29">
        <v>800</v>
      </c>
      <c r="I42" s="29">
        <v>0</v>
      </c>
      <c r="J42" s="29">
        <v>0</v>
      </c>
      <c r="K42" s="28" t="s">
        <v>73</v>
      </c>
    </row>
    <row r="43" spans="1:11" s="30" customFormat="1" ht="41.45" customHeight="1" x14ac:dyDescent="0.25">
      <c r="A43" s="2">
        <v>19</v>
      </c>
      <c r="B43" s="162"/>
      <c r="C43" s="28" t="s">
        <v>94</v>
      </c>
      <c r="D43" s="10" t="s">
        <v>95</v>
      </c>
      <c r="E43" s="10" t="s">
        <v>36</v>
      </c>
      <c r="F43" s="29">
        <f t="shared" si="1"/>
        <v>209</v>
      </c>
      <c r="G43" s="29">
        <v>0</v>
      </c>
      <c r="H43" s="29">
        <v>209</v>
      </c>
      <c r="I43" s="29">
        <v>0</v>
      </c>
      <c r="J43" s="29">
        <v>0</v>
      </c>
      <c r="K43" s="28" t="s">
        <v>65</v>
      </c>
    </row>
    <row r="44" spans="1:11" s="30" customFormat="1" ht="30" x14ac:dyDescent="0.25">
      <c r="A44" s="2">
        <v>20</v>
      </c>
      <c r="B44" s="162"/>
      <c r="C44" s="28" t="s">
        <v>96</v>
      </c>
      <c r="D44" s="10" t="s">
        <v>97</v>
      </c>
      <c r="E44" s="10" t="s">
        <v>23</v>
      </c>
      <c r="F44" s="29">
        <f t="shared" si="1"/>
        <v>47.5</v>
      </c>
      <c r="G44" s="29">
        <v>0</v>
      </c>
      <c r="H44" s="29">
        <v>47.5</v>
      </c>
      <c r="I44" s="29">
        <v>0</v>
      </c>
      <c r="J44" s="29">
        <v>0</v>
      </c>
      <c r="K44" s="28" t="s">
        <v>65</v>
      </c>
    </row>
    <row r="45" spans="1:11" s="30" customFormat="1" ht="34.15" customHeight="1" x14ac:dyDescent="0.25">
      <c r="A45" s="2">
        <v>21</v>
      </c>
      <c r="B45" s="162"/>
      <c r="C45" s="28" t="s">
        <v>98</v>
      </c>
      <c r="D45" s="10" t="s">
        <v>99</v>
      </c>
      <c r="E45" s="10" t="s">
        <v>36</v>
      </c>
      <c r="F45" s="29">
        <f t="shared" si="1"/>
        <v>76.5</v>
      </c>
      <c r="G45" s="29">
        <v>0</v>
      </c>
      <c r="H45" s="29">
        <v>76.5</v>
      </c>
      <c r="I45" s="29">
        <v>0</v>
      </c>
      <c r="J45" s="29">
        <v>0</v>
      </c>
      <c r="K45" s="28" t="s">
        <v>65</v>
      </c>
    </row>
    <row r="46" spans="1:11" s="30" customFormat="1" ht="34.15" customHeight="1" x14ac:dyDescent="0.25">
      <c r="A46" s="2">
        <v>22</v>
      </c>
      <c r="B46" s="162"/>
      <c r="C46" s="28" t="s">
        <v>100</v>
      </c>
      <c r="D46" s="10" t="s">
        <v>101</v>
      </c>
      <c r="E46" s="10" t="s">
        <v>36</v>
      </c>
      <c r="F46" s="29">
        <f t="shared" si="1"/>
        <v>249</v>
      </c>
      <c r="G46" s="29">
        <v>0</v>
      </c>
      <c r="H46" s="29">
        <v>249</v>
      </c>
      <c r="I46" s="29">
        <v>0</v>
      </c>
      <c r="J46" s="29">
        <v>0</v>
      </c>
      <c r="K46" s="28" t="s">
        <v>65</v>
      </c>
    </row>
    <row r="47" spans="1:11" s="30" customFormat="1" ht="35.450000000000003" customHeight="1" x14ac:dyDescent="0.25">
      <c r="A47" s="2">
        <v>23</v>
      </c>
      <c r="B47" s="162"/>
      <c r="C47" s="28" t="s">
        <v>102</v>
      </c>
      <c r="D47" s="10" t="s">
        <v>103</v>
      </c>
      <c r="E47" s="10" t="s">
        <v>36</v>
      </c>
      <c r="F47" s="29">
        <f t="shared" si="1"/>
        <v>2243.5100000000002</v>
      </c>
      <c r="G47" s="29">
        <v>0</v>
      </c>
      <c r="H47" s="29">
        <v>2243.5100000000002</v>
      </c>
      <c r="I47" s="29">
        <v>0</v>
      </c>
      <c r="J47" s="29">
        <v>0</v>
      </c>
      <c r="K47" s="28" t="s">
        <v>65</v>
      </c>
    </row>
    <row r="48" spans="1:11" s="30" customFormat="1" ht="35.450000000000003" customHeight="1" x14ac:dyDescent="0.25">
      <c r="A48" s="2">
        <v>24</v>
      </c>
      <c r="B48" s="163"/>
      <c r="C48" s="28" t="s">
        <v>104</v>
      </c>
      <c r="D48" s="10" t="s">
        <v>60</v>
      </c>
      <c r="E48" s="10" t="s">
        <v>36</v>
      </c>
      <c r="F48" s="29">
        <f t="shared" si="1"/>
        <v>6608.7</v>
      </c>
      <c r="G48" s="29">
        <v>0</v>
      </c>
      <c r="H48" s="29">
        <v>1100</v>
      </c>
      <c r="I48" s="29">
        <v>5508.7</v>
      </c>
      <c r="J48" s="29">
        <v>0</v>
      </c>
      <c r="K48" s="28" t="s">
        <v>65</v>
      </c>
    </row>
    <row r="49" spans="1:11" s="34" customFormat="1" ht="32.450000000000003" customHeight="1" x14ac:dyDescent="0.25">
      <c r="A49" s="172" t="s">
        <v>105</v>
      </c>
      <c r="B49" s="172"/>
      <c r="C49" s="172"/>
      <c r="D49" s="20"/>
      <c r="E49" s="10"/>
      <c r="F49" s="32">
        <f>SUM(F25:F48)</f>
        <v>35874.17</v>
      </c>
      <c r="G49" s="33">
        <f t="shared" ref="G49:J49" si="2">SUM(G25:G48)</f>
        <v>0</v>
      </c>
      <c r="H49" s="33">
        <f t="shared" si="2"/>
        <v>28576.839999999997</v>
      </c>
      <c r="I49" s="33">
        <f t="shared" si="2"/>
        <v>7297.33</v>
      </c>
      <c r="J49" s="33">
        <f t="shared" si="2"/>
        <v>0</v>
      </c>
      <c r="K49" s="28"/>
    </row>
    <row r="50" spans="1:11" s="30" customFormat="1" ht="48" customHeight="1" x14ac:dyDescent="0.25">
      <c r="A50" s="2">
        <v>1</v>
      </c>
      <c r="B50" s="161" t="s">
        <v>33</v>
      </c>
      <c r="C50" s="28" t="s">
        <v>106</v>
      </c>
      <c r="D50" s="10" t="s">
        <v>69</v>
      </c>
      <c r="E50" s="10" t="s">
        <v>36</v>
      </c>
      <c r="F50" s="29">
        <f t="shared" si="1"/>
        <v>325.67</v>
      </c>
      <c r="G50" s="29">
        <v>0</v>
      </c>
      <c r="H50" s="29">
        <v>0</v>
      </c>
      <c r="I50" s="29">
        <v>325.67</v>
      </c>
      <c r="J50" s="29">
        <v>0</v>
      </c>
      <c r="K50" s="28" t="s">
        <v>107</v>
      </c>
    </row>
    <row r="51" spans="1:11" s="30" customFormat="1" ht="32.450000000000003" customHeight="1" x14ac:dyDescent="0.25">
      <c r="A51" s="2">
        <v>2</v>
      </c>
      <c r="B51" s="162"/>
      <c r="C51" s="28" t="s">
        <v>108</v>
      </c>
      <c r="D51" s="10" t="s">
        <v>49</v>
      </c>
      <c r="E51" s="10" t="s">
        <v>36</v>
      </c>
      <c r="F51" s="29">
        <f t="shared" si="1"/>
        <v>400</v>
      </c>
      <c r="G51" s="29">
        <v>0</v>
      </c>
      <c r="H51" s="29">
        <v>0</v>
      </c>
      <c r="I51" s="29">
        <v>400</v>
      </c>
      <c r="J51" s="29">
        <v>0</v>
      </c>
      <c r="K51" s="28" t="s">
        <v>109</v>
      </c>
    </row>
    <row r="52" spans="1:11" s="30" customFormat="1" ht="32.450000000000003" customHeight="1" x14ac:dyDescent="0.25">
      <c r="A52" s="2">
        <v>3</v>
      </c>
      <c r="B52" s="162"/>
      <c r="C52" s="28" t="s">
        <v>110</v>
      </c>
      <c r="D52" s="10" t="s">
        <v>51</v>
      </c>
      <c r="E52" s="10" t="s">
        <v>36</v>
      </c>
      <c r="F52" s="29">
        <f t="shared" si="1"/>
        <v>4390.28</v>
      </c>
      <c r="G52" s="29">
        <v>0</v>
      </c>
      <c r="H52" s="29">
        <v>0</v>
      </c>
      <c r="I52" s="29">
        <v>4390.28</v>
      </c>
      <c r="J52" s="29">
        <v>0</v>
      </c>
      <c r="K52" s="28" t="s">
        <v>107</v>
      </c>
    </row>
    <row r="53" spans="1:11" s="30" customFormat="1" ht="32.450000000000003" customHeight="1" x14ac:dyDescent="0.25">
      <c r="A53" s="2">
        <v>4</v>
      </c>
      <c r="B53" s="162"/>
      <c r="C53" s="28" t="s">
        <v>111</v>
      </c>
      <c r="D53" s="10" t="s">
        <v>77</v>
      </c>
      <c r="E53" s="10" t="s">
        <v>36</v>
      </c>
      <c r="F53" s="29">
        <f t="shared" si="1"/>
        <v>730</v>
      </c>
      <c r="G53" s="29">
        <v>0</v>
      </c>
      <c r="H53" s="29">
        <v>0</v>
      </c>
      <c r="I53" s="29">
        <v>730</v>
      </c>
      <c r="J53" s="29">
        <v>0</v>
      </c>
      <c r="K53" s="28" t="s">
        <v>109</v>
      </c>
    </row>
    <row r="54" spans="1:11" s="30" customFormat="1" ht="45" x14ac:dyDescent="0.25">
      <c r="A54" s="2">
        <v>5</v>
      </c>
      <c r="B54" s="162"/>
      <c r="C54" s="28" t="s">
        <v>112</v>
      </c>
      <c r="D54" s="10" t="s">
        <v>53</v>
      </c>
      <c r="E54" s="10" t="s">
        <v>23</v>
      </c>
      <c r="F54" s="29">
        <f t="shared" si="1"/>
        <v>2700</v>
      </c>
      <c r="G54" s="29">
        <v>0</v>
      </c>
      <c r="H54" s="29">
        <v>0</v>
      </c>
      <c r="I54" s="29">
        <v>2700</v>
      </c>
      <c r="J54" s="29">
        <v>0</v>
      </c>
      <c r="K54" s="28" t="s">
        <v>107</v>
      </c>
    </row>
    <row r="55" spans="1:11" s="30" customFormat="1" ht="45" x14ac:dyDescent="0.25">
      <c r="A55" s="2">
        <v>6</v>
      </c>
      <c r="B55" s="162"/>
      <c r="C55" s="28" t="s">
        <v>113</v>
      </c>
      <c r="D55" s="10" t="s">
        <v>56</v>
      </c>
      <c r="E55" s="10" t="s">
        <v>23</v>
      </c>
      <c r="F55" s="29">
        <f t="shared" si="1"/>
        <v>42818.44</v>
      </c>
      <c r="G55" s="29">
        <v>0</v>
      </c>
      <c r="H55" s="29">
        <v>0</v>
      </c>
      <c r="I55" s="29">
        <v>42818.44</v>
      </c>
      <c r="J55" s="29">
        <v>0</v>
      </c>
      <c r="K55" s="28" t="s">
        <v>107</v>
      </c>
    </row>
    <row r="56" spans="1:11" s="30" customFormat="1" ht="45" x14ac:dyDescent="0.25">
      <c r="A56" s="2">
        <v>7</v>
      </c>
      <c r="B56" s="162"/>
      <c r="C56" s="28" t="s">
        <v>114</v>
      </c>
      <c r="D56" s="10" t="s">
        <v>82</v>
      </c>
      <c r="E56" s="10" t="s">
        <v>23</v>
      </c>
      <c r="F56" s="29">
        <f t="shared" si="1"/>
        <v>1410</v>
      </c>
      <c r="G56" s="29">
        <v>0</v>
      </c>
      <c r="H56" s="29">
        <v>0</v>
      </c>
      <c r="I56" s="29">
        <v>1410</v>
      </c>
      <c r="J56" s="29">
        <v>0</v>
      </c>
      <c r="K56" s="28" t="s">
        <v>115</v>
      </c>
    </row>
    <row r="57" spans="1:11" s="30" customFormat="1" ht="45" x14ac:dyDescent="0.25">
      <c r="A57" s="2">
        <v>8</v>
      </c>
      <c r="B57" s="162"/>
      <c r="C57" s="28" t="s">
        <v>116</v>
      </c>
      <c r="D57" s="10" t="s">
        <v>84</v>
      </c>
      <c r="E57" s="10" t="s">
        <v>23</v>
      </c>
      <c r="F57" s="29">
        <f t="shared" si="1"/>
        <v>6400</v>
      </c>
      <c r="G57" s="29">
        <v>0</v>
      </c>
      <c r="H57" s="29">
        <v>0</v>
      </c>
      <c r="I57" s="29">
        <v>6400</v>
      </c>
      <c r="J57" s="29">
        <v>0</v>
      </c>
      <c r="K57" s="28" t="s">
        <v>117</v>
      </c>
    </row>
    <row r="58" spans="1:11" s="30" customFormat="1" ht="37.15" customHeight="1" x14ac:dyDescent="0.25">
      <c r="A58" s="2">
        <v>9</v>
      </c>
      <c r="B58" s="162"/>
      <c r="C58" s="28" t="s">
        <v>118</v>
      </c>
      <c r="D58" s="10" t="s">
        <v>86</v>
      </c>
      <c r="E58" s="10" t="s">
        <v>36</v>
      </c>
      <c r="F58" s="29">
        <f t="shared" si="1"/>
        <v>1600</v>
      </c>
      <c r="G58" s="29">
        <v>0</v>
      </c>
      <c r="H58" s="29">
        <v>0</v>
      </c>
      <c r="I58" s="29">
        <v>1600</v>
      </c>
      <c r="J58" s="29">
        <v>0</v>
      </c>
      <c r="K58" s="28" t="s">
        <v>115</v>
      </c>
    </row>
    <row r="59" spans="1:11" s="30" customFormat="1" ht="36.6" customHeight="1" x14ac:dyDescent="0.25">
      <c r="A59" s="2">
        <v>10</v>
      </c>
      <c r="B59" s="162"/>
      <c r="C59" s="28" t="s">
        <v>119</v>
      </c>
      <c r="D59" s="10" t="s">
        <v>88</v>
      </c>
      <c r="E59" s="10" t="s">
        <v>36</v>
      </c>
      <c r="F59" s="29">
        <f t="shared" si="1"/>
        <v>500</v>
      </c>
      <c r="G59" s="29">
        <v>0</v>
      </c>
      <c r="H59" s="29">
        <v>0</v>
      </c>
      <c r="I59" s="29">
        <v>500</v>
      </c>
      <c r="J59" s="29">
        <v>0</v>
      </c>
      <c r="K59" s="28" t="s">
        <v>115</v>
      </c>
    </row>
    <row r="60" spans="1:11" s="30" customFormat="1" ht="46.15" customHeight="1" x14ac:dyDescent="0.25">
      <c r="A60" s="2">
        <v>11</v>
      </c>
      <c r="B60" s="162"/>
      <c r="C60" s="28" t="s">
        <v>120</v>
      </c>
      <c r="D60" s="10" t="s">
        <v>58</v>
      </c>
      <c r="E60" s="10" t="s">
        <v>36</v>
      </c>
      <c r="F60" s="29">
        <f t="shared" si="1"/>
        <v>4000</v>
      </c>
      <c r="G60" s="29">
        <v>0</v>
      </c>
      <c r="H60" s="29">
        <v>0</v>
      </c>
      <c r="I60" s="29">
        <v>4000</v>
      </c>
      <c r="J60" s="29">
        <v>0</v>
      </c>
      <c r="K60" s="28" t="s">
        <v>117</v>
      </c>
    </row>
    <row r="61" spans="1:11" s="30" customFormat="1" ht="30.6" customHeight="1" x14ac:dyDescent="0.25">
      <c r="A61" s="2">
        <v>12</v>
      </c>
      <c r="B61" s="162"/>
      <c r="C61" s="28" t="s">
        <v>121</v>
      </c>
      <c r="D61" s="10" t="s">
        <v>91</v>
      </c>
      <c r="E61" s="10" t="s">
        <v>36</v>
      </c>
      <c r="F61" s="29">
        <f t="shared" si="1"/>
        <v>600</v>
      </c>
      <c r="G61" s="29">
        <v>0</v>
      </c>
      <c r="H61" s="29">
        <v>0</v>
      </c>
      <c r="I61" s="29">
        <v>600</v>
      </c>
      <c r="J61" s="29">
        <v>0</v>
      </c>
      <c r="K61" s="28" t="s">
        <v>117</v>
      </c>
    </row>
    <row r="62" spans="1:11" s="30" customFormat="1" ht="30.6" customHeight="1" x14ac:dyDescent="0.25">
      <c r="A62" s="2">
        <v>13</v>
      </c>
      <c r="B62" s="162"/>
      <c r="C62" s="28" t="s">
        <v>122</v>
      </c>
      <c r="D62" s="10" t="s">
        <v>93</v>
      </c>
      <c r="E62" s="10" t="s">
        <v>36</v>
      </c>
      <c r="F62" s="29">
        <f t="shared" si="1"/>
        <v>800</v>
      </c>
      <c r="G62" s="29">
        <v>0</v>
      </c>
      <c r="H62" s="29">
        <v>0</v>
      </c>
      <c r="I62" s="29">
        <v>800</v>
      </c>
      <c r="J62" s="29">
        <v>0</v>
      </c>
      <c r="K62" s="28" t="s">
        <v>117</v>
      </c>
    </row>
    <row r="63" spans="1:11" s="30" customFormat="1" ht="30.6" customHeight="1" x14ac:dyDescent="0.25">
      <c r="A63" s="2">
        <v>14</v>
      </c>
      <c r="B63" s="162"/>
      <c r="C63" s="28" t="s">
        <v>123</v>
      </c>
      <c r="D63" s="10" t="s">
        <v>95</v>
      </c>
      <c r="E63" s="10" t="s">
        <v>36</v>
      </c>
      <c r="F63" s="29">
        <f t="shared" si="1"/>
        <v>209</v>
      </c>
      <c r="G63" s="29">
        <v>0</v>
      </c>
      <c r="H63" s="29">
        <v>0</v>
      </c>
      <c r="I63" s="29">
        <v>209</v>
      </c>
      <c r="J63" s="29">
        <v>0</v>
      </c>
      <c r="K63" s="28" t="s">
        <v>115</v>
      </c>
    </row>
    <row r="64" spans="1:11" s="30" customFormat="1" ht="30.6" customHeight="1" x14ac:dyDescent="0.25">
      <c r="A64" s="2">
        <v>15</v>
      </c>
      <c r="B64" s="162"/>
      <c r="C64" s="28" t="s">
        <v>124</v>
      </c>
      <c r="D64" s="10" t="s">
        <v>97</v>
      </c>
      <c r="E64" s="10" t="s">
        <v>36</v>
      </c>
      <c r="F64" s="29">
        <f t="shared" si="1"/>
        <v>48.33</v>
      </c>
      <c r="G64" s="29">
        <v>0</v>
      </c>
      <c r="H64" s="29">
        <v>0</v>
      </c>
      <c r="I64" s="29">
        <v>48.33</v>
      </c>
      <c r="J64" s="29">
        <v>0</v>
      </c>
      <c r="K64" s="28" t="s">
        <v>115</v>
      </c>
    </row>
    <row r="65" spans="1:11" s="30" customFormat="1" ht="32.450000000000003" customHeight="1" x14ac:dyDescent="0.25">
      <c r="A65" s="2">
        <v>16</v>
      </c>
      <c r="B65" s="162"/>
      <c r="C65" s="28" t="s">
        <v>125</v>
      </c>
      <c r="D65" s="10" t="s">
        <v>99</v>
      </c>
      <c r="E65" s="10" t="s">
        <v>36</v>
      </c>
      <c r="F65" s="29">
        <f t="shared" si="1"/>
        <v>76.5</v>
      </c>
      <c r="G65" s="29">
        <v>0</v>
      </c>
      <c r="H65" s="29">
        <v>0</v>
      </c>
      <c r="I65" s="29">
        <v>76.5</v>
      </c>
      <c r="J65" s="29">
        <v>0</v>
      </c>
      <c r="K65" s="28" t="s">
        <v>115</v>
      </c>
    </row>
    <row r="66" spans="1:11" s="30" customFormat="1" ht="32.450000000000003" customHeight="1" x14ac:dyDescent="0.25">
      <c r="A66" s="2">
        <v>17</v>
      </c>
      <c r="B66" s="162"/>
      <c r="C66" s="28" t="s">
        <v>126</v>
      </c>
      <c r="D66" s="10" t="s">
        <v>101</v>
      </c>
      <c r="E66" s="10" t="s">
        <v>36</v>
      </c>
      <c r="F66" s="29">
        <f t="shared" si="1"/>
        <v>249</v>
      </c>
      <c r="G66" s="29">
        <v>0</v>
      </c>
      <c r="H66" s="29">
        <v>0</v>
      </c>
      <c r="I66" s="29">
        <v>249</v>
      </c>
      <c r="J66" s="29">
        <v>0</v>
      </c>
      <c r="K66" s="28" t="s">
        <v>115</v>
      </c>
    </row>
    <row r="67" spans="1:11" s="30" customFormat="1" ht="42" customHeight="1" x14ac:dyDescent="0.25">
      <c r="A67" s="2">
        <v>18</v>
      </c>
      <c r="B67" s="162"/>
      <c r="C67" s="28" t="s">
        <v>127</v>
      </c>
      <c r="D67" s="10" t="s">
        <v>103</v>
      </c>
      <c r="E67" s="10" t="s">
        <v>36</v>
      </c>
      <c r="F67" s="29">
        <f t="shared" si="1"/>
        <v>2243.5100000000002</v>
      </c>
      <c r="G67" s="29">
        <v>0</v>
      </c>
      <c r="H67" s="29">
        <v>0</v>
      </c>
      <c r="I67" s="29">
        <v>2243.5100000000002</v>
      </c>
      <c r="J67" s="29">
        <v>0</v>
      </c>
      <c r="K67" s="28" t="s">
        <v>115</v>
      </c>
    </row>
    <row r="68" spans="1:11" s="30" customFormat="1" ht="45" x14ac:dyDescent="0.25">
      <c r="A68" s="2">
        <v>19</v>
      </c>
      <c r="B68" s="163"/>
      <c r="C68" s="28" t="s">
        <v>128</v>
      </c>
      <c r="D68" s="10" t="s">
        <v>60</v>
      </c>
      <c r="E68" s="10" t="s">
        <v>36</v>
      </c>
      <c r="F68" s="29">
        <f t="shared" si="1"/>
        <v>1100</v>
      </c>
      <c r="G68" s="29">
        <v>0</v>
      </c>
      <c r="H68" s="29">
        <v>0</v>
      </c>
      <c r="I68" s="29">
        <v>1100</v>
      </c>
      <c r="J68" s="29">
        <v>0</v>
      </c>
      <c r="K68" s="28" t="s">
        <v>109</v>
      </c>
    </row>
    <row r="69" spans="1:11" s="34" customFormat="1" ht="30" customHeight="1" x14ac:dyDescent="0.25">
      <c r="A69" s="172" t="s">
        <v>129</v>
      </c>
      <c r="B69" s="172"/>
      <c r="C69" s="172"/>
      <c r="D69" s="20"/>
      <c r="E69" s="20"/>
      <c r="F69" s="32">
        <f>SUM(F50:F68)</f>
        <v>70600.73</v>
      </c>
      <c r="G69" s="33">
        <f t="shared" ref="G69:J69" si="3">SUM(G50:G68)</f>
        <v>0</v>
      </c>
      <c r="H69" s="33">
        <f t="shared" si="3"/>
        <v>0</v>
      </c>
      <c r="I69" s="33">
        <f t="shared" si="3"/>
        <v>70600.73</v>
      </c>
      <c r="J69" s="33">
        <f t="shared" si="3"/>
        <v>0</v>
      </c>
      <c r="K69" s="28"/>
    </row>
    <row r="70" spans="1:11" s="30" customFormat="1" ht="30" x14ac:dyDescent="0.25">
      <c r="A70" s="11">
        <v>1</v>
      </c>
      <c r="B70" s="161" t="s">
        <v>130</v>
      </c>
      <c r="C70" s="35" t="s">
        <v>131</v>
      </c>
      <c r="D70" s="8" t="s">
        <v>132</v>
      </c>
      <c r="E70" s="8" t="s">
        <v>23</v>
      </c>
      <c r="F70" s="29">
        <f t="shared" si="1"/>
        <v>2819.34</v>
      </c>
      <c r="G70" s="36">
        <v>0</v>
      </c>
      <c r="H70" s="29">
        <v>2819.34</v>
      </c>
      <c r="I70" s="29">
        <v>0</v>
      </c>
      <c r="J70" s="29">
        <v>0</v>
      </c>
      <c r="K70" s="28" t="s">
        <v>37</v>
      </c>
    </row>
    <row r="71" spans="1:11" s="30" customFormat="1" ht="30" x14ac:dyDescent="0.25">
      <c r="A71" s="11">
        <v>2</v>
      </c>
      <c r="B71" s="162"/>
      <c r="C71" s="35" t="s">
        <v>134</v>
      </c>
      <c r="D71" s="8" t="s">
        <v>135</v>
      </c>
      <c r="E71" s="8" t="s">
        <v>23</v>
      </c>
      <c r="F71" s="29">
        <f t="shared" si="1"/>
        <v>487.3</v>
      </c>
      <c r="G71" s="36">
        <v>0</v>
      </c>
      <c r="H71" s="29">
        <v>487.3</v>
      </c>
      <c r="I71" s="29">
        <v>0</v>
      </c>
      <c r="J71" s="29">
        <v>0</v>
      </c>
      <c r="K71" s="28" t="s">
        <v>37</v>
      </c>
    </row>
    <row r="72" spans="1:11" s="30" customFormat="1" ht="30" x14ac:dyDescent="0.25">
      <c r="A72" s="11">
        <v>3</v>
      </c>
      <c r="B72" s="162"/>
      <c r="C72" s="28" t="s">
        <v>136</v>
      </c>
      <c r="D72" s="8" t="s">
        <v>132</v>
      </c>
      <c r="E72" s="8" t="s">
        <v>23</v>
      </c>
      <c r="F72" s="29">
        <f t="shared" si="1"/>
        <v>614.32000000000005</v>
      </c>
      <c r="G72" s="36">
        <v>0</v>
      </c>
      <c r="H72" s="29">
        <v>614.32000000000005</v>
      </c>
      <c r="I72" s="29">
        <v>0</v>
      </c>
      <c r="J72" s="29">
        <v>0</v>
      </c>
      <c r="K72" s="28" t="s">
        <v>37</v>
      </c>
    </row>
    <row r="73" spans="1:11" s="30" customFormat="1" ht="30" x14ac:dyDescent="0.25">
      <c r="A73" s="11">
        <v>4</v>
      </c>
      <c r="B73" s="163"/>
      <c r="C73" s="28" t="s">
        <v>137</v>
      </c>
      <c r="D73" s="8" t="s">
        <v>138</v>
      </c>
      <c r="E73" s="8" t="s">
        <v>23</v>
      </c>
      <c r="F73" s="29">
        <f t="shared" si="1"/>
        <v>2714.26</v>
      </c>
      <c r="G73" s="36">
        <v>0</v>
      </c>
      <c r="H73" s="29">
        <v>2714.26</v>
      </c>
      <c r="I73" s="29">
        <v>0</v>
      </c>
      <c r="J73" s="29">
        <v>0</v>
      </c>
      <c r="K73" s="28" t="s">
        <v>37</v>
      </c>
    </row>
    <row r="74" spans="1:11" s="34" customFormat="1" ht="33" customHeight="1" x14ac:dyDescent="0.25">
      <c r="A74" s="188" t="s">
        <v>139</v>
      </c>
      <c r="B74" s="189"/>
      <c r="C74" s="190"/>
      <c r="D74" s="37"/>
      <c r="E74" s="37"/>
      <c r="F74" s="32">
        <f>SUM(F70:F73)</f>
        <v>6635.2200000000012</v>
      </c>
      <c r="G74" s="33">
        <f>SUM(G70:G73)</f>
        <v>0</v>
      </c>
      <c r="H74" s="33">
        <f>SUM(H70:H73)</f>
        <v>6635.2200000000012</v>
      </c>
      <c r="I74" s="33">
        <f>SUM(I70:I73)</f>
        <v>0</v>
      </c>
      <c r="J74" s="33">
        <f>SUM(J70:J73)</f>
        <v>0</v>
      </c>
      <c r="K74" s="31"/>
    </row>
    <row r="75" spans="1:11" s="34" customFormat="1" ht="30" x14ac:dyDescent="0.25">
      <c r="A75" s="2">
        <v>1</v>
      </c>
      <c r="B75" s="161" t="s">
        <v>130</v>
      </c>
      <c r="C75" s="35" t="s">
        <v>140</v>
      </c>
      <c r="D75" s="8" t="s">
        <v>141</v>
      </c>
      <c r="E75" s="8" t="s">
        <v>23</v>
      </c>
      <c r="F75" s="29">
        <f t="shared" si="1"/>
        <v>487.3</v>
      </c>
      <c r="G75" s="36">
        <v>0</v>
      </c>
      <c r="H75" s="29">
        <v>0</v>
      </c>
      <c r="I75" s="36">
        <v>487.3</v>
      </c>
      <c r="J75" s="36">
        <v>0</v>
      </c>
      <c r="K75" s="28" t="s">
        <v>284</v>
      </c>
    </row>
    <row r="76" spans="1:11" s="34" customFormat="1" ht="30" x14ac:dyDescent="0.25">
      <c r="A76" s="2">
        <v>2</v>
      </c>
      <c r="B76" s="162"/>
      <c r="C76" s="35" t="s">
        <v>143</v>
      </c>
      <c r="D76" s="8" t="s">
        <v>132</v>
      </c>
      <c r="E76" s="8" t="s">
        <v>23</v>
      </c>
      <c r="F76" s="29">
        <f t="shared" si="1"/>
        <v>2831.22</v>
      </c>
      <c r="G76" s="36">
        <v>0</v>
      </c>
      <c r="H76" s="29">
        <v>0</v>
      </c>
      <c r="I76" s="36">
        <v>2831.22</v>
      </c>
      <c r="J76" s="36">
        <v>0</v>
      </c>
      <c r="K76" s="28" t="s">
        <v>284</v>
      </c>
    </row>
    <row r="77" spans="1:11" s="34" customFormat="1" ht="30" x14ac:dyDescent="0.25">
      <c r="A77" s="2">
        <v>3</v>
      </c>
      <c r="B77" s="162"/>
      <c r="C77" s="28" t="s">
        <v>144</v>
      </c>
      <c r="D77" s="8" t="s">
        <v>132</v>
      </c>
      <c r="E77" s="8" t="s">
        <v>23</v>
      </c>
      <c r="F77" s="29">
        <f t="shared" ref="F77:F139" si="4">G77+H77+I77+J77</f>
        <v>615.44000000000005</v>
      </c>
      <c r="G77" s="36">
        <v>0</v>
      </c>
      <c r="H77" s="29">
        <v>0</v>
      </c>
      <c r="I77" s="36">
        <v>615.44000000000005</v>
      </c>
      <c r="J77" s="36">
        <v>0</v>
      </c>
      <c r="K77" s="28" t="s">
        <v>284</v>
      </c>
    </row>
    <row r="78" spans="1:11" s="34" customFormat="1" ht="30" x14ac:dyDescent="0.25">
      <c r="A78" s="2">
        <v>4</v>
      </c>
      <c r="B78" s="163"/>
      <c r="C78" s="38" t="s">
        <v>145</v>
      </c>
      <c r="D78" s="39" t="s">
        <v>146</v>
      </c>
      <c r="E78" s="39" t="s">
        <v>23</v>
      </c>
      <c r="F78" s="29">
        <f t="shared" si="4"/>
        <v>2714.26</v>
      </c>
      <c r="G78" s="36">
        <v>0</v>
      </c>
      <c r="H78" s="29">
        <v>0</v>
      </c>
      <c r="I78" s="40">
        <v>2714.26</v>
      </c>
      <c r="J78" s="36">
        <v>0</v>
      </c>
      <c r="K78" s="38" t="s">
        <v>284</v>
      </c>
    </row>
    <row r="79" spans="1:11" s="34" customFormat="1" ht="29.45" customHeight="1" x14ac:dyDescent="0.25">
      <c r="A79" s="172" t="s">
        <v>1179</v>
      </c>
      <c r="B79" s="172"/>
      <c r="C79" s="172"/>
      <c r="D79" s="20"/>
      <c r="E79" s="20"/>
      <c r="F79" s="32">
        <f>SUM(F75:F78)</f>
        <v>6648.22</v>
      </c>
      <c r="G79" s="33">
        <f t="shared" ref="G79:J79" si="5">SUM(G75:G78)</f>
        <v>0</v>
      </c>
      <c r="H79" s="33">
        <f t="shared" si="5"/>
        <v>0</v>
      </c>
      <c r="I79" s="33">
        <f t="shared" si="5"/>
        <v>6648.22</v>
      </c>
      <c r="J79" s="33">
        <f t="shared" si="5"/>
        <v>0</v>
      </c>
      <c r="K79" s="31"/>
    </row>
    <row r="80" spans="1:11" s="30" customFormat="1" ht="36" customHeight="1" x14ac:dyDescent="0.25">
      <c r="A80" s="2">
        <v>1</v>
      </c>
      <c r="B80" s="161" t="s">
        <v>147</v>
      </c>
      <c r="C80" s="23" t="s">
        <v>148</v>
      </c>
      <c r="D80" s="8" t="s">
        <v>149</v>
      </c>
      <c r="E80" s="2" t="s">
        <v>36</v>
      </c>
      <c r="F80" s="29">
        <f t="shared" si="4"/>
        <v>1491.8999999999999</v>
      </c>
      <c r="G80" s="36">
        <v>0</v>
      </c>
      <c r="H80" s="36">
        <v>1362.35</v>
      </c>
      <c r="I80" s="29">
        <v>129.55000000000001</v>
      </c>
      <c r="J80" s="29">
        <v>0</v>
      </c>
      <c r="K80" s="28" t="s">
        <v>37</v>
      </c>
    </row>
    <row r="81" spans="1:11" s="30" customFormat="1" ht="30" x14ac:dyDescent="0.25">
      <c r="A81" s="2">
        <v>2</v>
      </c>
      <c r="B81" s="163"/>
      <c r="C81" s="23" t="s">
        <v>150</v>
      </c>
      <c r="D81" s="8" t="s">
        <v>132</v>
      </c>
      <c r="E81" s="2" t="s">
        <v>23</v>
      </c>
      <c r="F81" s="29">
        <f t="shared" si="4"/>
        <v>10950</v>
      </c>
      <c r="G81" s="36">
        <v>0</v>
      </c>
      <c r="H81" s="36">
        <v>10020</v>
      </c>
      <c r="I81" s="29">
        <v>930</v>
      </c>
      <c r="J81" s="29">
        <v>0</v>
      </c>
      <c r="K81" s="28" t="s">
        <v>37</v>
      </c>
    </row>
    <row r="82" spans="1:11" s="34" customFormat="1" ht="25.9" customHeight="1" x14ac:dyDescent="0.25">
      <c r="A82" s="188" t="s">
        <v>1180</v>
      </c>
      <c r="B82" s="189"/>
      <c r="C82" s="190"/>
      <c r="D82" s="37"/>
      <c r="E82" s="37"/>
      <c r="F82" s="32">
        <f>SUM(F80:F81)</f>
        <v>12441.9</v>
      </c>
      <c r="G82" s="33">
        <f>SUM(G80:G81)</f>
        <v>0</v>
      </c>
      <c r="H82" s="33">
        <f>SUM(H80:H81)</f>
        <v>11382.35</v>
      </c>
      <c r="I82" s="33">
        <f>SUM(I80:I81)</f>
        <v>1059.55</v>
      </c>
      <c r="J82" s="33">
        <f>SUM(J80:J81)</f>
        <v>0</v>
      </c>
      <c r="K82" s="31"/>
    </row>
    <row r="83" spans="1:11" s="30" customFormat="1" ht="30" customHeight="1" x14ac:dyDescent="0.25">
      <c r="A83" s="2">
        <v>1</v>
      </c>
      <c r="B83" s="161" t="s">
        <v>147</v>
      </c>
      <c r="C83" s="28" t="s">
        <v>151</v>
      </c>
      <c r="D83" s="2" t="s">
        <v>152</v>
      </c>
      <c r="E83" s="2" t="s">
        <v>23</v>
      </c>
      <c r="F83" s="29">
        <f t="shared" si="4"/>
        <v>937.37</v>
      </c>
      <c r="G83" s="29">
        <v>0</v>
      </c>
      <c r="H83" s="29">
        <v>0</v>
      </c>
      <c r="I83" s="29">
        <v>937.37</v>
      </c>
      <c r="J83" s="29">
        <v>0</v>
      </c>
      <c r="K83" s="28" t="s">
        <v>75</v>
      </c>
    </row>
    <row r="84" spans="1:11" s="30" customFormat="1" ht="32.25" customHeight="1" x14ac:dyDescent="0.25">
      <c r="A84" s="2">
        <v>2</v>
      </c>
      <c r="B84" s="162"/>
      <c r="C84" s="28" t="s">
        <v>153</v>
      </c>
      <c r="D84" s="8" t="s">
        <v>132</v>
      </c>
      <c r="E84" s="2" t="s">
        <v>23</v>
      </c>
      <c r="F84" s="29">
        <f t="shared" si="4"/>
        <v>10050</v>
      </c>
      <c r="G84" s="29">
        <v>0</v>
      </c>
      <c r="H84" s="29">
        <v>0</v>
      </c>
      <c r="I84" s="29">
        <v>10050</v>
      </c>
      <c r="J84" s="29">
        <v>0</v>
      </c>
      <c r="K84" s="28" t="s">
        <v>75</v>
      </c>
    </row>
    <row r="85" spans="1:11" s="30" customFormat="1" ht="34.15" customHeight="1" x14ac:dyDescent="0.25">
      <c r="A85" s="2">
        <v>3</v>
      </c>
      <c r="B85" s="163"/>
      <c r="C85" s="28" t="s">
        <v>154</v>
      </c>
      <c r="D85" s="8" t="s">
        <v>149</v>
      </c>
      <c r="E85" s="2" t="s">
        <v>23</v>
      </c>
      <c r="F85" s="29">
        <f t="shared" si="4"/>
        <v>1366.53</v>
      </c>
      <c r="G85" s="29">
        <v>0</v>
      </c>
      <c r="H85" s="29">
        <v>0</v>
      </c>
      <c r="I85" s="29">
        <v>1366.53</v>
      </c>
      <c r="J85" s="29">
        <v>0</v>
      </c>
      <c r="K85" s="28" t="s">
        <v>75</v>
      </c>
    </row>
    <row r="86" spans="1:11" s="34" customFormat="1" ht="28.9" customHeight="1" x14ac:dyDescent="0.25">
      <c r="A86" s="172" t="s">
        <v>1181</v>
      </c>
      <c r="B86" s="172"/>
      <c r="C86" s="172"/>
      <c r="D86" s="20"/>
      <c r="E86" s="20"/>
      <c r="F86" s="32">
        <f>SUM(F83:F85)</f>
        <v>12353.900000000001</v>
      </c>
      <c r="G86" s="33">
        <f t="shared" ref="G86:J86" si="6">SUM(G83:G85)</f>
        <v>0</v>
      </c>
      <c r="H86" s="33">
        <f t="shared" si="6"/>
        <v>0</v>
      </c>
      <c r="I86" s="33">
        <f t="shared" si="6"/>
        <v>12353.900000000001</v>
      </c>
      <c r="J86" s="33">
        <f t="shared" si="6"/>
        <v>0</v>
      </c>
      <c r="K86" s="31"/>
    </row>
    <row r="87" spans="1:11" s="30" customFormat="1" ht="29.25" customHeight="1" x14ac:dyDescent="0.25">
      <c r="A87" s="2">
        <v>1</v>
      </c>
      <c r="B87" s="201" t="s">
        <v>155</v>
      </c>
      <c r="C87" s="41" t="s">
        <v>156</v>
      </c>
      <c r="D87" s="156" t="s">
        <v>157</v>
      </c>
      <c r="E87" s="2" t="s">
        <v>23</v>
      </c>
      <c r="F87" s="29">
        <f t="shared" si="4"/>
        <v>1939.05</v>
      </c>
      <c r="G87" s="42">
        <v>0</v>
      </c>
      <c r="H87" s="42">
        <v>1939.05</v>
      </c>
      <c r="I87" s="43">
        <v>0</v>
      </c>
      <c r="J87" s="44">
        <v>0</v>
      </c>
      <c r="K87" s="28" t="s">
        <v>37</v>
      </c>
    </row>
    <row r="88" spans="1:11" s="30" customFormat="1" ht="27" customHeight="1" x14ac:dyDescent="0.25">
      <c r="A88" s="2">
        <v>2</v>
      </c>
      <c r="B88" s="202"/>
      <c r="C88" s="41" t="s">
        <v>158</v>
      </c>
      <c r="D88" s="156" t="s">
        <v>159</v>
      </c>
      <c r="E88" s="2" t="s">
        <v>23</v>
      </c>
      <c r="F88" s="29">
        <f t="shared" si="4"/>
        <v>1000</v>
      </c>
      <c r="G88" s="42">
        <v>0</v>
      </c>
      <c r="H88" s="42">
        <v>1000</v>
      </c>
      <c r="I88" s="43">
        <v>0</v>
      </c>
      <c r="J88" s="44">
        <v>0</v>
      </c>
      <c r="K88" s="28" t="s">
        <v>37</v>
      </c>
    </row>
    <row r="89" spans="1:11" s="30" customFormat="1" ht="27" customHeight="1" x14ac:dyDescent="0.25">
      <c r="A89" s="2">
        <v>3</v>
      </c>
      <c r="B89" s="203"/>
      <c r="C89" s="41" t="s">
        <v>160</v>
      </c>
      <c r="D89" s="156" t="s">
        <v>161</v>
      </c>
      <c r="E89" s="2" t="s">
        <v>23</v>
      </c>
      <c r="F89" s="29">
        <f t="shared" si="4"/>
        <v>4036.28</v>
      </c>
      <c r="G89" s="42">
        <v>0</v>
      </c>
      <c r="H89" s="42">
        <v>4036.28</v>
      </c>
      <c r="I89" s="43">
        <v>0</v>
      </c>
      <c r="J89" s="44">
        <v>0</v>
      </c>
      <c r="K89" s="28" t="s">
        <v>54</v>
      </c>
    </row>
    <row r="90" spans="1:11" s="34" customFormat="1" ht="25.9" customHeight="1" x14ac:dyDescent="0.25">
      <c r="A90" s="188" t="s">
        <v>1182</v>
      </c>
      <c r="B90" s="189"/>
      <c r="C90" s="190"/>
      <c r="D90" s="37"/>
      <c r="E90" s="37"/>
      <c r="F90" s="32">
        <f>SUM(F87:F89)</f>
        <v>6975.33</v>
      </c>
      <c r="G90" s="33">
        <f>SUM(G87:G89)</f>
        <v>0</v>
      </c>
      <c r="H90" s="33">
        <f>SUM(H87:H89)</f>
        <v>6975.33</v>
      </c>
      <c r="I90" s="33">
        <f>SUM(I87:I89)</f>
        <v>0</v>
      </c>
      <c r="J90" s="33">
        <f>SUM(J87:J89)</f>
        <v>0</v>
      </c>
      <c r="K90" s="31"/>
    </row>
    <row r="91" spans="1:11" s="30" customFormat="1" ht="41.45" customHeight="1" x14ac:dyDescent="0.25">
      <c r="A91" s="2">
        <v>1</v>
      </c>
      <c r="B91" s="201" t="s">
        <v>155</v>
      </c>
      <c r="C91" s="41" t="s">
        <v>163</v>
      </c>
      <c r="D91" s="156" t="s">
        <v>164</v>
      </c>
      <c r="E91" s="2" t="s">
        <v>36</v>
      </c>
      <c r="F91" s="29">
        <f t="shared" si="4"/>
        <v>2751.62</v>
      </c>
      <c r="G91" s="42">
        <v>0</v>
      </c>
      <c r="H91" s="42">
        <v>2751.62</v>
      </c>
      <c r="I91" s="42">
        <v>0</v>
      </c>
      <c r="J91" s="42">
        <v>0</v>
      </c>
      <c r="K91" s="28" t="s">
        <v>65</v>
      </c>
    </row>
    <row r="92" spans="1:11" s="30" customFormat="1" ht="25.9" customHeight="1" x14ac:dyDescent="0.25">
      <c r="A92" s="2">
        <v>2</v>
      </c>
      <c r="B92" s="202"/>
      <c r="C92" s="41" t="s">
        <v>166</v>
      </c>
      <c r="D92" s="156" t="s">
        <v>167</v>
      </c>
      <c r="E92" s="2" t="s">
        <v>23</v>
      </c>
      <c r="F92" s="29">
        <f t="shared" si="4"/>
        <v>2271.69</v>
      </c>
      <c r="G92" s="42">
        <v>0</v>
      </c>
      <c r="H92" s="42">
        <v>2271.69</v>
      </c>
      <c r="I92" s="42">
        <v>0</v>
      </c>
      <c r="J92" s="42">
        <v>0</v>
      </c>
      <c r="K92" s="28" t="s">
        <v>65</v>
      </c>
    </row>
    <row r="93" spans="1:11" s="30" customFormat="1" ht="28.5" customHeight="1" x14ac:dyDescent="0.25">
      <c r="A93" s="2">
        <v>3</v>
      </c>
      <c r="B93" s="202"/>
      <c r="C93" s="41" t="s">
        <v>168</v>
      </c>
      <c r="D93" s="156" t="s">
        <v>169</v>
      </c>
      <c r="E93" s="2" t="s">
        <v>23</v>
      </c>
      <c r="F93" s="29">
        <f t="shared" si="4"/>
        <v>2000</v>
      </c>
      <c r="G93" s="42">
        <v>0</v>
      </c>
      <c r="H93" s="42">
        <v>0</v>
      </c>
      <c r="I93" s="42">
        <v>2000</v>
      </c>
      <c r="J93" s="42">
        <v>0</v>
      </c>
      <c r="K93" s="28" t="s">
        <v>75</v>
      </c>
    </row>
    <row r="94" spans="1:11" s="30" customFormat="1" ht="30" customHeight="1" x14ac:dyDescent="0.25">
      <c r="A94" s="2">
        <v>4</v>
      </c>
      <c r="B94" s="202"/>
      <c r="C94" s="41" t="s">
        <v>171</v>
      </c>
      <c r="D94" s="156" t="s">
        <v>172</v>
      </c>
      <c r="E94" s="2" t="s">
        <v>23</v>
      </c>
      <c r="F94" s="29">
        <f t="shared" si="4"/>
        <v>1032.3599999999999</v>
      </c>
      <c r="G94" s="42">
        <v>0</v>
      </c>
      <c r="H94" s="42">
        <v>0</v>
      </c>
      <c r="I94" s="42">
        <v>1032.3599999999999</v>
      </c>
      <c r="J94" s="42">
        <v>0</v>
      </c>
      <c r="K94" s="28" t="s">
        <v>75</v>
      </c>
    </row>
    <row r="95" spans="1:11" s="30" customFormat="1" ht="30" x14ac:dyDescent="0.25">
      <c r="A95" s="2">
        <v>5</v>
      </c>
      <c r="B95" s="203"/>
      <c r="C95" s="41" t="s">
        <v>173</v>
      </c>
      <c r="D95" s="156" t="s">
        <v>174</v>
      </c>
      <c r="E95" s="2" t="s">
        <v>23</v>
      </c>
      <c r="F95" s="29">
        <f t="shared" si="4"/>
        <v>4339.66</v>
      </c>
      <c r="G95" s="42">
        <v>0</v>
      </c>
      <c r="H95" s="42">
        <v>0</v>
      </c>
      <c r="I95" s="42">
        <v>4339.66</v>
      </c>
      <c r="J95" s="42">
        <v>0</v>
      </c>
      <c r="K95" s="28" t="s">
        <v>75</v>
      </c>
    </row>
    <row r="96" spans="1:11" s="34" customFormat="1" ht="32.25" customHeight="1" x14ac:dyDescent="0.25">
      <c r="A96" s="172" t="s">
        <v>1183</v>
      </c>
      <c r="B96" s="172"/>
      <c r="C96" s="172"/>
      <c r="D96" s="20"/>
      <c r="E96" s="20"/>
      <c r="F96" s="32">
        <f>SUM(F91:F95)</f>
        <v>12395.329999999998</v>
      </c>
      <c r="G96" s="33">
        <f t="shared" ref="G96:J96" si="7">SUM(G91:G95)</f>
        <v>0</v>
      </c>
      <c r="H96" s="33">
        <f t="shared" si="7"/>
        <v>5023.3099999999995</v>
      </c>
      <c r="I96" s="33">
        <f t="shared" si="7"/>
        <v>7372.0199999999995</v>
      </c>
      <c r="J96" s="33">
        <f t="shared" si="7"/>
        <v>0</v>
      </c>
      <c r="K96" s="31"/>
    </row>
    <row r="97" spans="1:11" s="30" customFormat="1" ht="42" customHeight="1" x14ac:dyDescent="0.25">
      <c r="A97" s="2">
        <v>1</v>
      </c>
      <c r="B97" s="201" t="s">
        <v>155</v>
      </c>
      <c r="C97" s="41" t="s">
        <v>175</v>
      </c>
      <c r="D97" s="156" t="s">
        <v>164</v>
      </c>
      <c r="E97" s="2" t="s">
        <v>36</v>
      </c>
      <c r="F97" s="29">
        <f t="shared" si="4"/>
        <v>2751.61</v>
      </c>
      <c r="G97" s="42">
        <v>0</v>
      </c>
      <c r="H97" s="42">
        <v>0</v>
      </c>
      <c r="I97" s="42">
        <v>2751.61</v>
      </c>
      <c r="J97" s="42">
        <v>0</v>
      </c>
      <c r="K97" s="28" t="s">
        <v>109</v>
      </c>
    </row>
    <row r="98" spans="1:11" s="30" customFormat="1" ht="28.15" customHeight="1" x14ac:dyDescent="0.25">
      <c r="A98" s="2">
        <v>2</v>
      </c>
      <c r="B98" s="203"/>
      <c r="C98" s="41" t="s">
        <v>177</v>
      </c>
      <c r="D98" s="156" t="s">
        <v>167</v>
      </c>
      <c r="E98" s="2" t="s">
        <v>23</v>
      </c>
      <c r="F98" s="29">
        <f t="shared" si="4"/>
        <v>2271.69</v>
      </c>
      <c r="G98" s="42">
        <v>0</v>
      </c>
      <c r="H98" s="42">
        <v>0</v>
      </c>
      <c r="I98" s="42">
        <v>2271.69</v>
      </c>
      <c r="J98" s="42">
        <v>0</v>
      </c>
      <c r="K98" s="28" t="s">
        <v>109</v>
      </c>
    </row>
    <row r="99" spans="1:11" s="34" customFormat="1" ht="33.75" customHeight="1" x14ac:dyDescent="0.25">
      <c r="A99" s="172" t="s">
        <v>1184</v>
      </c>
      <c r="B99" s="172"/>
      <c r="C99" s="172"/>
      <c r="D99" s="20"/>
      <c r="E99" s="20"/>
      <c r="F99" s="32">
        <f>SUM(F97:F98)</f>
        <v>5023.3</v>
      </c>
      <c r="G99" s="33">
        <f t="shared" ref="G99:J99" si="8">SUM(G97:G98)</f>
        <v>0</v>
      </c>
      <c r="H99" s="33">
        <f t="shared" si="8"/>
        <v>0</v>
      </c>
      <c r="I99" s="33">
        <f t="shared" si="8"/>
        <v>5023.3</v>
      </c>
      <c r="J99" s="33">
        <f t="shared" si="8"/>
        <v>0</v>
      </c>
      <c r="K99" s="45"/>
    </row>
    <row r="100" spans="1:11" s="30" customFormat="1" ht="28.9" customHeight="1" x14ac:dyDescent="0.25">
      <c r="A100" s="2">
        <v>1</v>
      </c>
      <c r="B100" s="161" t="s">
        <v>178</v>
      </c>
      <c r="C100" s="23" t="s">
        <v>179</v>
      </c>
      <c r="D100" s="8" t="s">
        <v>180</v>
      </c>
      <c r="E100" s="8" t="s">
        <v>23</v>
      </c>
      <c r="F100" s="29">
        <f t="shared" si="4"/>
        <v>759.58</v>
      </c>
      <c r="G100" s="44">
        <v>0</v>
      </c>
      <c r="H100" s="29">
        <v>383.92</v>
      </c>
      <c r="I100" s="29">
        <v>375.66</v>
      </c>
      <c r="J100" s="29">
        <v>0</v>
      </c>
      <c r="K100" s="28" t="s">
        <v>54</v>
      </c>
    </row>
    <row r="101" spans="1:11" s="30" customFormat="1" ht="28.9" customHeight="1" x14ac:dyDescent="0.25">
      <c r="A101" s="2">
        <v>2</v>
      </c>
      <c r="B101" s="162"/>
      <c r="C101" s="23" t="s">
        <v>181</v>
      </c>
      <c r="D101" s="8" t="s">
        <v>182</v>
      </c>
      <c r="E101" s="8" t="s">
        <v>23</v>
      </c>
      <c r="F101" s="29">
        <f t="shared" si="4"/>
        <v>3123.01</v>
      </c>
      <c r="G101" s="44">
        <v>0</v>
      </c>
      <c r="H101" s="29">
        <v>1560.12</v>
      </c>
      <c r="I101" s="29">
        <v>1562.89</v>
      </c>
      <c r="J101" s="29">
        <v>0</v>
      </c>
      <c r="K101" s="28" t="s">
        <v>54</v>
      </c>
    </row>
    <row r="102" spans="1:11" s="30" customFormat="1" ht="28.9" customHeight="1" x14ac:dyDescent="0.25">
      <c r="A102" s="2">
        <v>3</v>
      </c>
      <c r="B102" s="163"/>
      <c r="C102" s="23" t="s">
        <v>183</v>
      </c>
      <c r="D102" s="8" t="s">
        <v>184</v>
      </c>
      <c r="E102" s="8" t="s">
        <v>23</v>
      </c>
      <c r="F102" s="29">
        <f t="shared" si="4"/>
        <v>673.2</v>
      </c>
      <c r="G102" s="44">
        <v>0</v>
      </c>
      <c r="H102" s="29">
        <v>336.6</v>
      </c>
      <c r="I102" s="29">
        <v>336.6</v>
      </c>
      <c r="J102" s="29">
        <v>0</v>
      </c>
      <c r="K102" s="28" t="s">
        <v>54</v>
      </c>
    </row>
    <row r="103" spans="1:11" s="34" customFormat="1" ht="25.9" customHeight="1" x14ac:dyDescent="0.25">
      <c r="A103" s="188" t="s">
        <v>1185</v>
      </c>
      <c r="B103" s="189"/>
      <c r="C103" s="190"/>
      <c r="D103" s="37"/>
      <c r="E103" s="37"/>
      <c r="F103" s="32">
        <f>SUM(F100:F102)</f>
        <v>4555.79</v>
      </c>
      <c r="G103" s="33">
        <f>SUM(G100:G102)</f>
        <v>0</v>
      </c>
      <c r="H103" s="33">
        <f>SUM(H100:H102)</f>
        <v>2280.64</v>
      </c>
      <c r="I103" s="33">
        <f>SUM(I100:I102)</f>
        <v>2275.15</v>
      </c>
      <c r="J103" s="33">
        <f>SUM(J100:J102)</f>
        <v>0</v>
      </c>
      <c r="K103" s="31"/>
    </row>
    <row r="104" spans="1:11" s="30" customFormat="1" ht="30" x14ac:dyDescent="0.25">
      <c r="A104" s="2">
        <v>1</v>
      </c>
      <c r="B104" s="25" t="s">
        <v>185</v>
      </c>
      <c r="C104" s="23" t="s">
        <v>186</v>
      </c>
      <c r="D104" s="8" t="s">
        <v>149</v>
      </c>
      <c r="E104" s="8" t="s">
        <v>23</v>
      </c>
      <c r="F104" s="29">
        <f t="shared" si="4"/>
        <v>4612.09</v>
      </c>
      <c r="G104" s="29">
        <v>0</v>
      </c>
      <c r="H104" s="29">
        <v>2296.46</v>
      </c>
      <c r="I104" s="29">
        <v>2315.63</v>
      </c>
      <c r="J104" s="29">
        <v>0</v>
      </c>
      <c r="K104" s="28" t="s">
        <v>418</v>
      </c>
    </row>
    <row r="105" spans="1:11" s="34" customFormat="1" ht="31.15" customHeight="1" x14ac:dyDescent="0.25">
      <c r="A105" s="188" t="s">
        <v>1186</v>
      </c>
      <c r="B105" s="189"/>
      <c r="C105" s="190"/>
      <c r="D105" s="37"/>
      <c r="E105" s="37"/>
      <c r="F105" s="32">
        <f t="shared" si="4"/>
        <v>4612.09</v>
      </c>
      <c r="G105" s="33">
        <f>SUM(G104:G104)</f>
        <v>0</v>
      </c>
      <c r="H105" s="33">
        <f>SUM(H104:H104)</f>
        <v>2296.46</v>
      </c>
      <c r="I105" s="33">
        <f>SUM(I104:I104)</f>
        <v>2315.63</v>
      </c>
      <c r="J105" s="33">
        <f>SUM(J104:J104)</f>
        <v>0</v>
      </c>
      <c r="K105" s="31"/>
    </row>
    <row r="106" spans="1:11" s="30" customFormat="1" ht="30" x14ac:dyDescent="0.25">
      <c r="A106" s="2">
        <v>1</v>
      </c>
      <c r="B106" s="25" t="s">
        <v>185</v>
      </c>
      <c r="C106" s="23" t="s">
        <v>188</v>
      </c>
      <c r="D106" s="8" t="s">
        <v>152</v>
      </c>
      <c r="E106" s="8" t="s">
        <v>23</v>
      </c>
      <c r="F106" s="29">
        <f t="shared" si="4"/>
        <v>501.6</v>
      </c>
      <c r="G106" s="29">
        <v>0</v>
      </c>
      <c r="H106" s="29">
        <v>0</v>
      </c>
      <c r="I106" s="29">
        <v>501.6</v>
      </c>
      <c r="J106" s="29">
        <v>0</v>
      </c>
      <c r="K106" s="28" t="s">
        <v>424</v>
      </c>
    </row>
    <row r="107" spans="1:11" s="34" customFormat="1" ht="30" customHeight="1" x14ac:dyDescent="0.25">
      <c r="A107" s="172" t="s">
        <v>1187</v>
      </c>
      <c r="B107" s="172"/>
      <c r="C107" s="172"/>
      <c r="D107" s="20"/>
      <c r="E107" s="20"/>
      <c r="F107" s="32">
        <f t="shared" si="4"/>
        <v>501.6</v>
      </c>
      <c r="G107" s="33">
        <f>SUM(G106:G106)</f>
        <v>0</v>
      </c>
      <c r="H107" s="33">
        <f>SUM(H106:H106)</f>
        <v>0</v>
      </c>
      <c r="I107" s="33">
        <f>SUM(I106:I106)</f>
        <v>501.6</v>
      </c>
      <c r="J107" s="33">
        <f>SUM(J106:J106)</f>
        <v>0</v>
      </c>
      <c r="K107" s="31"/>
    </row>
    <row r="108" spans="1:11" s="30" customFormat="1" ht="30" x14ac:dyDescent="0.25">
      <c r="A108" s="2">
        <v>1</v>
      </c>
      <c r="B108" s="25" t="s">
        <v>189</v>
      </c>
      <c r="C108" s="23" t="s">
        <v>190</v>
      </c>
      <c r="D108" s="8" t="s">
        <v>149</v>
      </c>
      <c r="E108" s="8" t="s">
        <v>23</v>
      </c>
      <c r="F108" s="29">
        <f t="shared" si="4"/>
        <v>3842.09</v>
      </c>
      <c r="G108" s="44">
        <v>0</v>
      </c>
      <c r="H108" s="44">
        <v>3842.09</v>
      </c>
      <c r="I108" s="29">
        <v>0</v>
      </c>
      <c r="J108" s="29">
        <v>0</v>
      </c>
      <c r="K108" s="28" t="s">
        <v>37</v>
      </c>
    </row>
    <row r="109" spans="1:11" s="34" customFormat="1" ht="33" customHeight="1" x14ac:dyDescent="0.25">
      <c r="A109" s="188" t="s">
        <v>1188</v>
      </c>
      <c r="B109" s="189"/>
      <c r="C109" s="190"/>
      <c r="D109" s="37"/>
      <c r="E109" s="37"/>
      <c r="F109" s="32">
        <f t="shared" si="4"/>
        <v>3842.09</v>
      </c>
      <c r="G109" s="33">
        <f>SUM(G108:G108)</f>
        <v>0</v>
      </c>
      <c r="H109" s="33">
        <f>SUM(H108:H108)</f>
        <v>3842.09</v>
      </c>
      <c r="I109" s="33">
        <f>SUM(I108:I108)</f>
        <v>0</v>
      </c>
      <c r="J109" s="33">
        <f>SUM(J108:J108)</f>
        <v>0</v>
      </c>
      <c r="K109" s="31"/>
    </row>
    <row r="110" spans="1:11" s="30" customFormat="1" ht="30" x14ac:dyDescent="0.25">
      <c r="A110" s="2">
        <v>1</v>
      </c>
      <c r="B110" s="161" t="s">
        <v>189</v>
      </c>
      <c r="C110" s="28" t="s">
        <v>191</v>
      </c>
      <c r="D110" s="8" t="s">
        <v>132</v>
      </c>
      <c r="E110" s="8" t="s">
        <v>23</v>
      </c>
      <c r="F110" s="29">
        <f t="shared" si="4"/>
        <v>2505.56</v>
      </c>
      <c r="G110" s="36">
        <v>0</v>
      </c>
      <c r="H110" s="29">
        <v>0</v>
      </c>
      <c r="I110" s="29">
        <v>2505.56</v>
      </c>
      <c r="J110" s="29">
        <v>0</v>
      </c>
      <c r="K110" s="28" t="s">
        <v>73</v>
      </c>
    </row>
    <row r="111" spans="1:11" s="30" customFormat="1" ht="30" x14ac:dyDescent="0.25">
      <c r="A111" s="2">
        <v>2</v>
      </c>
      <c r="B111" s="163"/>
      <c r="C111" s="28" t="s">
        <v>192</v>
      </c>
      <c r="D111" s="8" t="s">
        <v>149</v>
      </c>
      <c r="E111" s="8" t="s">
        <v>23</v>
      </c>
      <c r="F111" s="29">
        <f t="shared" si="4"/>
        <v>3987.11</v>
      </c>
      <c r="G111" s="36">
        <v>0</v>
      </c>
      <c r="H111" s="29">
        <v>0</v>
      </c>
      <c r="I111" s="29">
        <v>3987.11</v>
      </c>
      <c r="J111" s="29">
        <v>0</v>
      </c>
      <c r="K111" s="28" t="s">
        <v>73</v>
      </c>
    </row>
    <row r="112" spans="1:11" s="34" customFormat="1" ht="30.75" customHeight="1" x14ac:dyDescent="0.25">
      <c r="A112" s="172" t="s">
        <v>1189</v>
      </c>
      <c r="B112" s="172"/>
      <c r="C112" s="172"/>
      <c r="D112" s="20"/>
      <c r="E112" s="20"/>
      <c r="F112" s="32">
        <f t="shared" si="4"/>
        <v>6492.67</v>
      </c>
      <c r="G112" s="33">
        <f>SUM(G110:G111)</f>
        <v>0</v>
      </c>
      <c r="H112" s="33">
        <f>SUM(H110:H111)</f>
        <v>0</v>
      </c>
      <c r="I112" s="33">
        <f>SUM(I110:I111)</f>
        <v>6492.67</v>
      </c>
      <c r="J112" s="33">
        <f>SUM(J110:J111)</f>
        <v>0</v>
      </c>
      <c r="K112" s="31"/>
    </row>
    <row r="113" spans="1:11" s="30" customFormat="1" ht="30" x14ac:dyDescent="0.25">
      <c r="A113" s="2">
        <v>1</v>
      </c>
      <c r="B113" s="25" t="s">
        <v>193</v>
      </c>
      <c r="C113" s="23" t="s">
        <v>194</v>
      </c>
      <c r="D113" s="8" t="s">
        <v>149</v>
      </c>
      <c r="E113" s="8" t="s">
        <v>23</v>
      </c>
      <c r="F113" s="29">
        <f t="shared" si="4"/>
        <v>1203.8800000000001</v>
      </c>
      <c r="G113" s="44">
        <v>0</v>
      </c>
      <c r="H113" s="29">
        <v>1203.8800000000001</v>
      </c>
      <c r="I113" s="29">
        <v>0</v>
      </c>
      <c r="J113" s="29">
        <v>0</v>
      </c>
      <c r="K113" s="28" t="s">
        <v>195</v>
      </c>
    </row>
    <row r="114" spans="1:11" s="34" customFormat="1" ht="31.15" customHeight="1" x14ac:dyDescent="0.25">
      <c r="A114" s="188" t="s">
        <v>1190</v>
      </c>
      <c r="B114" s="189"/>
      <c r="C114" s="190"/>
      <c r="D114" s="37"/>
      <c r="E114" s="37"/>
      <c r="F114" s="32">
        <f t="shared" si="4"/>
        <v>1203.8800000000001</v>
      </c>
      <c r="G114" s="33">
        <f>SUM(G113:G113)</f>
        <v>0</v>
      </c>
      <c r="H114" s="33">
        <f>SUM(H113:H113)</f>
        <v>1203.8800000000001</v>
      </c>
      <c r="I114" s="33">
        <f>SUM(I113:I113)</f>
        <v>0</v>
      </c>
      <c r="J114" s="33">
        <f>SUM(J113:J113)</f>
        <v>0</v>
      </c>
      <c r="K114" s="31"/>
    </row>
    <row r="115" spans="1:11" s="30" customFormat="1" ht="30" x14ac:dyDescent="0.25">
      <c r="A115" s="2">
        <v>1</v>
      </c>
      <c r="B115" s="161" t="s">
        <v>193</v>
      </c>
      <c r="C115" s="23" t="s">
        <v>196</v>
      </c>
      <c r="D115" s="46" t="s">
        <v>132</v>
      </c>
      <c r="E115" s="46" t="s">
        <v>23</v>
      </c>
      <c r="F115" s="29">
        <f t="shared" si="4"/>
        <v>4287</v>
      </c>
      <c r="G115" s="36">
        <v>0</v>
      </c>
      <c r="H115" s="29">
        <v>0</v>
      </c>
      <c r="I115" s="29">
        <v>4287</v>
      </c>
      <c r="J115" s="29">
        <v>0</v>
      </c>
      <c r="K115" s="28" t="s">
        <v>197</v>
      </c>
    </row>
    <row r="116" spans="1:11" s="30" customFormat="1" ht="29.45" customHeight="1" x14ac:dyDescent="0.25">
      <c r="A116" s="2">
        <v>2</v>
      </c>
      <c r="B116" s="163"/>
      <c r="C116" s="23" t="s">
        <v>198</v>
      </c>
      <c r="D116" s="46" t="s">
        <v>149</v>
      </c>
      <c r="E116" s="46" t="s">
        <v>23</v>
      </c>
      <c r="F116" s="29">
        <f t="shared" si="4"/>
        <v>1203.8800000000001</v>
      </c>
      <c r="G116" s="36">
        <v>0</v>
      </c>
      <c r="H116" s="29">
        <v>0</v>
      </c>
      <c r="I116" s="29">
        <v>1203.8800000000001</v>
      </c>
      <c r="J116" s="29">
        <v>0</v>
      </c>
      <c r="K116" s="28" t="s">
        <v>197</v>
      </c>
    </row>
    <row r="117" spans="1:11" s="34" customFormat="1" ht="28.9" customHeight="1" x14ac:dyDescent="0.25">
      <c r="A117" s="172" t="s">
        <v>1191</v>
      </c>
      <c r="B117" s="172"/>
      <c r="C117" s="172"/>
      <c r="D117" s="20"/>
      <c r="E117" s="20"/>
      <c r="F117" s="32">
        <f>SUM(F115:F116)</f>
        <v>5490.88</v>
      </c>
      <c r="G117" s="33">
        <f>SUM(G115:G116)</f>
        <v>0</v>
      </c>
      <c r="H117" s="33">
        <f>SUM(H115:H116)</f>
        <v>0</v>
      </c>
      <c r="I117" s="33">
        <f>SUM(I115:I116)</f>
        <v>5490.88</v>
      </c>
      <c r="J117" s="33">
        <f>SUM(J115:J116)</f>
        <v>0</v>
      </c>
      <c r="K117" s="31"/>
    </row>
    <row r="118" spans="1:11" s="30" customFormat="1" ht="29.45" customHeight="1" x14ac:dyDescent="0.25">
      <c r="A118" s="2">
        <v>1</v>
      </c>
      <c r="B118" s="161" t="s">
        <v>199</v>
      </c>
      <c r="C118" s="23" t="s">
        <v>200</v>
      </c>
      <c r="D118" s="8" t="s">
        <v>201</v>
      </c>
      <c r="E118" s="8" t="s">
        <v>202</v>
      </c>
      <c r="F118" s="29">
        <f t="shared" si="4"/>
        <v>233.08</v>
      </c>
      <c r="G118" s="44">
        <v>0</v>
      </c>
      <c r="H118" s="29">
        <v>233.08</v>
      </c>
      <c r="I118" s="29">
        <v>0</v>
      </c>
      <c r="J118" s="29">
        <v>0</v>
      </c>
      <c r="K118" s="28" t="s">
        <v>203</v>
      </c>
    </row>
    <row r="119" spans="1:11" s="30" customFormat="1" ht="45" x14ac:dyDescent="0.25">
      <c r="A119" s="2">
        <v>2</v>
      </c>
      <c r="B119" s="162"/>
      <c r="C119" s="23" t="s">
        <v>204</v>
      </c>
      <c r="D119" s="157" t="s">
        <v>205</v>
      </c>
      <c r="E119" s="8" t="s">
        <v>202</v>
      </c>
      <c r="F119" s="29">
        <f t="shared" si="4"/>
        <v>5451.56</v>
      </c>
      <c r="G119" s="44">
        <v>0</v>
      </c>
      <c r="H119" s="29">
        <v>5451.56</v>
      </c>
      <c r="I119" s="29">
        <v>0</v>
      </c>
      <c r="J119" s="29">
        <v>0</v>
      </c>
      <c r="K119" s="28" t="s">
        <v>203</v>
      </c>
    </row>
    <row r="120" spans="1:11" s="30" customFormat="1" ht="33.6" customHeight="1" x14ac:dyDescent="0.25">
      <c r="A120" s="2">
        <v>3</v>
      </c>
      <c r="B120" s="163"/>
      <c r="C120" s="48" t="s">
        <v>206</v>
      </c>
      <c r="D120" s="157" t="s">
        <v>207</v>
      </c>
      <c r="E120" s="8" t="s">
        <v>202</v>
      </c>
      <c r="F120" s="29">
        <f t="shared" si="4"/>
        <v>2005.35</v>
      </c>
      <c r="G120" s="44">
        <v>0</v>
      </c>
      <c r="H120" s="29">
        <v>2005.35</v>
      </c>
      <c r="I120" s="29">
        <v>0</v>
      </c>
      <c r="J120" s="29">
        <v>0</v>
      </c>
      <c r="K120" s="28" t="s">
        <v>203</v>
      </c>
    </row>
    <row r="121" spans="1:11" s="34" customFormat="1" ht="26.45" customHeight="1" x14ac:dyDescent="0.25">
      <c r="A121" s="188" t="s">
        <v>1192</v>
      </c>
      <c r="B121" s="189"/>
      <c r="C121" s="190"/>
      <c r="D121" s="37"/>
      <c r="E121" s="37"/>
      <c r="F121" s="32">
        <f>SUM(F118:F120)</f>
        <v>7689.99</v>
      </c>
      <c r="G121" s="33">
        <f>SUM(G118:G120)</f>
        <v>0</v>
      </c>
      <c r="H121" s="33">
        <f>SUM(H118:H120)</f>
        <v>7689.99</v>
      </c>
      <c r="I121" s="33">
        <f>SUM(I118:I120)</f>
        <v>0</v>
      </c>
      <c r="J121" s="33">
        <f>SUM(J118:J120)</f>
        <v>0</v>
      </c>
      <c r="K121" s="31"/>
    </row>
    <row r="122" spans="1:11" s="30" customFormat="1" ht="30" x14ac:dyDescent="0.25">
      <c r="A122" s="2">
        <v>1</v>
      </c>
      <c r="B122" s="25" t="s">
        <v>199</v>
      </c>
      <c r="C122" s="28" t="s">
        <v>208</v>
      </c>
      <c r="D122" s="8" t="s">
        <v>209</v>
      </c>
      <c r="E122" s="46" t="s">
        <v>202</v>
      </c>
      <c r="F122" s="29">
        <f t="shared" si="4"/>
        <v>8764</v>
      </c>
      <c r="G122" s="36">
        <v>0</v>
      </c>
      <c r="H122" s="29">
        <v>0</v>
      </c>
      <c r="I122" s="29">
        <v>8764</v>
      </c>
      <c r="J122" s="29">
        <v>0</v>
      </c>
      <c r="K122" s="28" t="s">
        <v>210</v>
      </c>
    </row>
    <row r="123" spans="1:11" s="30" customFormat="1" ht="30" x14ac:dyDescent="0.25">
      <c r="A123" s="2">
        <f>A122+1</f>
        <v>2</v>
      </c>
      <c r="B123" s="25" t="s">
        <v>199</v>
      </c>
      <c r="C123" s="28" t="s">
        <v>211</v>
      </c>
      <c r="D123" s="8" t="s">
        <v>212</v>
      </c>
      <c r="E123" s="46" t="s">
        <v>202</v>
      </c>
      <c r="F123" s="29">
        <f t="shared" si="4"/>
        <v>233.08</v>
      </c>
      <c r="G123" s="36">
        <v>0</v>
      </c>
      <c r="H123" s="29">
        <v>0</v>
      </c>
      <c r="I123" s="29">
        <v>233.08</v>
      </c>
      <c r="J123" s="29">
        <v>0</v>
      </c>
      <c r="K123" s="28" t="s">
        <v>210</v>
      </c>
    </row>
    <row r="124" spans="1:11" s="30" customFormat="1" ht="30" x14ac:dyDescent="0.25">
      <c r="A124" s="2">
        <f t="shared" ref="A124:A126" si="9">A123+1</f>
        <v>3</v>
      </c>
      <c r="B124" s="25" t="s">
        <v>199</v>
      </c>
      <c r="C124" s="28" t="s">
        <v>213</v>
      </c>
      <c r="D124" s="8" t="s">
        <v>214</v>
      </c>
      <c r="E124" s="46" t="s">
        <v>202</v>
      </c>
      <c r="F124" s="29">
        <f t="shared" si="4"/>
        <v>710.4</v>
      </c>
      <c r="G124" s="36">
        <v>0</v>
      </c>
      <c r="H124" s="29">
        <v>0</v>
      </c>
      <c r="I124" s="29">
        <v>710.4</v>
      </c>
      <c r="J124" s="29">
        <v>0</v>
      </c>
      <c r="K124" s="28" t="s">
        <v>210</v>
      </c>
    </row>
    <row r="125" spans="1:11" s="30" customFormat="1" ht="30" x14ac:dyDescent="0.25">
      <c r="A125" s="2">
        <f t="shared" si="9"/>
        <v>4</v>
      </c>
      <c r="B125" s="25" t="s">
        <v>199</v>
      </c>
      <c r="C125" s="28" t="s">
        <v>215</v>
      </c>
      <c r="D125" s="8" t="s">
        <v>216</v>
      </c>
      <c r="E125" s="46" t="s">
        <v>202</v>
      </c>
      <c r="F125" s="29">
        <f t="shared" si="4"/>
        <v>269.2</v>
      </c>
      <c r="G125" s="36">
        <v>0</v>
      </c>
      <c r="H125" s="29">
        <v>0</v>
      </c>
      <c r="I125" s="29">
        <v>269.2</v>
      </c>
      <c r="J125" s="29">
        <v>0</v>
      </c>
      <c r="K125" s="28" t="s">
        <v>210</v>
      </c>
    </row>
    <row r="126" spans="1:11" s="30" customFormat="1" ht="45" x14ac:dyDescent="0.25">
      <c r="A126" s="2">
        <f t="shared" si="9"/>
        <v>5</v>
      </c>
      <c r="B126" s="25" t="s">
        <v>199</v>
      </c>
      <c r="C126" s="28" t="s">
        <v>217</v>
      </c>
      <c r="D126" s="157" t="s">
        <v>218</v>
      </c>
      <c r="E126" s="46" t="s">
        <v>202</v>
      </c>
      <c r="F126" s="29">
        <f t="shared" si="4"/>
        <v>5451.56</v>
      </c>
      <c r="G126" s="36">
        <v>0</v>
      </c>
      <c r="H126" s="29">
        <v>0</v>
      </c>
      <c r="I126" s="29">
        <v>5451.56</v>
      </c>
      <c r="J126" s="29">
        <v>0</v>
      </c>
      <c r="K126" s="28" t="s">
        <v>210</v>
      </c>
    </row>
    <row r="127" spans="1:11" s="34" customFormat="1" ht="29.45" customHeight="1" x14ac:dyDescent="0.25">
      <c r="A127" s="172" t="s">
        <v>1193</v>
      </c>
      <c r="B127" s="172"/>
      <c r="C127" s="172"/>
      <c r="D127" s="20"/>
      <c r="E127" s="20"/>
      <c r="F127" s="32">
        <f>SUM(F122:F126)</f>
        <v>15428.240000000002</v>
      </c>
      <c r="G127" s="33">
        <f>SUM(G122:G126)</f>
        <v>0</v>
      </c>
      <c r="H127" s="33">
        <f>SUM(H122:H126)</f>
        <v>0</v>
      </c>
      <c r="I127" s="33">
        <f>SUM(I122:I126)</f>
        <v>15428.240000000002</v>
      </c>
      <c r="J127" s="33">
        <f>SUM(J122:J126)</f>
        <v>0</v>
      </c>
      <c r="K127" s="31"/>
    </row>
    <row r="128" spans="1:11" s="30" customFormat="1" ht="30.6" customHeight="1" x14ac:dyDescent="0.25">
      <c r="A128" s="2">
        <v>1</v>
      </c>
      <c r="B128" s="25" t="s">
        <v>219</v>
      </c>
      <c r="C128" s="23" t="s">
        <v>220</v>
      </c>
      <c r="D128" s="8" t="s">
        <v>180</v>
      </c>
      <c r="E128" s="8" t="s">
        <v>23</v>
      </c>
      <c r="F128" s="29">
        <f t="shared" si="4"/>
        <v>496.26</v>
      </c>
      <c r="G128" s="49">
        <v>0</v>
      </c>
      <c r="H128" s="44">
        <v>248.13</v>
      </c>
      <c r="I128" s="29">
        <v>248.13</v>
      </c>
      <c r="J128" s="29">
        <v>0</v>
      </c>
      <c r="K128" s="28" t="s">
        <v>221</v>
      </c>
    </row>
    <row r="129" spans="1:11" s="34" customFormat="1" ht="30" customHeight="1" x14ac:dyDescent="0.25">
      <c r="A129" s="188" t="s">
        <v>1194</v>
      </c>
      <c r="B129" s="189"/>
      <c r="C129" s="190"/>
      <c r="D129" s="37"/>
      <c r="E129" s="37"/>
      <c r="F129" s="32">
        <f t="shared" si="4"/>
        <v>496.26</v>
      </c>
      <c r="G129" s="33">
        <f>SUM(G128:G128)</f>
        <v>0</v>
      </c>
      <c r="H129" s="33">
        <f>SUM(H128:H128)</f>
        <v>248.13</v>
      </c>
      <c r="I129" s="33">
        <f>SUM(I128:I128)</f>
        <v>248.13</v>
      </c>
      <c r="J129" s="33">
        <f>SUM(J128:J128)</f>
        <v>0</v>
      </c>
      <c r="K129" s="31"/>
    </row>
    <row r="130" spans="1:11" s="30" customFormat="1" ht="33" customHeight="1" x14ac:dyDescent="0.25">
      <c r="A130" s="2">
        <v>1</v>
      </c>
      <c r="B130" s="161" t="s">
        <v>222</v>
      </c>
      <c r="C130" s="23" t="s">
        <v>223</v>
      </c>
      <c r="D130" s="8" t="s">
        <v>132</v>
      </c>
      <c r="E130" s="8" t="s">
        <v>23</v>
      </c>
      <c r="F130" s="29">
        <f t="shared" si="4"/>
        <v>3433.56</v>
      </c>
      <c r="G130" s="44">
        <v>0</v>
      </c>
      <c r="H130" s="29">
        <v>3433.56</v>
      </c>
      <c r="I130" s="29">
        <v>0</v>
      </c>
      <c r="J130" s="29">
        <v>0</v>
      </c>
      <c r="K130" s="28" t="s">
        <v>133</v>
      </c>
    </row>
    <row r="131" spans="1:11" s="30" customFormat="1" ht="28.9" customHeight="1" x14ac:dyDescent="0.25">
      <c r="A131" s="2">
        <v>2</v>
      </c>
      <c r="B131" s="162"/>
      <c r="C131" s="23" t="s">
        <v>224</v>
      </c>
      <c r="D131" s="8" t="s">
        <v>149</v>
      </c>
      <c r="E131" s="8" t="s">
        <v>23</v>
      </c>
      <c r="F131" s="29">
        <f t="shared" si="4"/>
        <v>2000</v>
      </c>
      <c r="G131" s="44">
        <v>0</v>
      </c>
      <c r="H131" s="29">
        <v>2000</v>
      </c>
      <c r="I131" s="29">
        <v>0</v>
      </c>
      <c r="J131" s="29">
        <v>0</v>
      </c>
      <c r="K131" s="28" t="s">
        <v>133</v>
      </c>
    </row>
    <row r="132" spans="1:11" s="30" customFormat="1" ht="43.9" customHeight="1" x14ac:dyDescent="0.25">
      <c r="A132" s="2">
        <v>3</v>
      </c>
      <c r="B132" s="162"/>
      <c r="C132" s="23" t="s">
        <v>225</v>
      </c>
      <c r="D132" s="8" t="s">
        <v>205</v>
      </c>
      <c r="E132" s="8" t="s">
        <v>23</v>
      </c>
      <c r="F132" s="29">
        <f t="shared" si="4"/>
        <v>3697</v>
      </c>
      <c r="G132" s="44">
        <v>0</v>
      </c>
      <c r="H132" s="29">
        <v>3697</v>
      </c>
      <c r="I132" s="29">
        <v>0</v>
      </c>
      <c r="J132" s="29">
        <v>0</v>
      </c>
      <c r="K132" s="28" t="s">
        <v>162</v>
      </c>
    </row>
    <row r="133" spans="1:11" s="30" customFormat="1" ht="30" x14ac:dyDescent="0.25">
      <c r="A133" s="2">
        <v>4</v>
      </c>
      <c r="B133" s="162"/>
      <c r="C133" s="23" t="s">
        <v>226</v>
      </c>
      <c r="D133" s="8" t="s">
        <v>227</v>
      </c>
      <c r="E133" s="8" t="s">
        <v>23</v>
      </c>
      <c r="F133" s="29">
        <f t="shared" si="4"/>
        <v>767.36</v>
      </c>
      <c r="G133" s="44">
        <v>209.28</v>
      </c>
      <c r="H133" s="29">
        <v>488.32</v>
      </c>
      <c r="I133" s="29">
        <v>69.760000000000005</v>
      </c>
      <c r="J133" s="29">
        <v>0</v>
      </c>
      <c r="K133" s="28" t="s">
        <v>133</v>
      </c>
    </row>
    <row r="134" spans="1:11" s="30" customFormat="1" ht="30" x14ac:dyDescent="0.25">
      <c r="A134" s="2">
        <v>5</v>
      </c>
      <c r="B134" s="163"/>
      <c r="C134" s="23" t="s">
        <v>228</v>
      </c>
      <c r="D134" s="8" t="s">
        <v>229</v>
      </c>
      <c r="E134" s="8" t="s">
        <v>23</v>
      </c>
      <c r="F134" s="29">
        <f t="shared" si="4"/>
        <v>1494.65</v>
      </c>
      <c r="G134" s="44">
        <v>373.66</v>
      </c>
      <c r="H134" s="29">
        <v>1120.99</v>
      </c>
      <c r="I134" s="29">
        <v>0</v>
      </c>
      <c r="J134" s="29">
        <v>0</v>
      </c>
      <c r="K134" s="28" t="s">
        <v>133</v>
      </c>
    </row>
    <row r="135" spans="1:11" s="34" customFormat="1" ht="28.15" customHeight="1" x14ac:dyDescent="0.25">
      <c r="A135" s="188" t="s">
        <v>1195</v>
      </c>
      <c r="B135" s="189"/>
      <c r="C135" s="190"/>
      <c r="D135" s="37"/>
      <c r="E135" s="37"/>
      <c r="F135" s="32">
        <f>SUM(F130:F134)</f>
        <v>11392.57</v>
      </c>
      <c r="G135" s="33">
        <f>SUM(G130:G134)</f>
        <v>582.94000000000005</v>
      </c>
      <c r="H135" s="33">
        <f>SUM(H130:H134)</f>
        <v>10739.869999999999</v>
      </c>
      <c r="I135" s="33">
        <f>SUM(I130:I134)</f>
        <v>69.760000000000005</v>
      </c>
      <c r="J135" s="33">
        <f>SUM(J130:J134)</f>
        <v>0</v>
      </c>
      <c r="K135" s="31"/>
    </row>
    <row r="136" spans="1:11" s="30" customFormat="1" ht="30" x14ac:dyDescent="0.25">
      <c r="A136" s="2">
        <v>1</v>
      </c>
      <c r="B136" s="161" t="s">
        <v>222</v>
      </c>
      <c r="C136" s="28" t="s">
        <v>230</v>
      </c>
      <c r="D136" s="8" t="s">
        <v>149</v>
      </c>
      <c r="E136" s="8" t="s">
        <v>23</v>
      </c>
      <c r="F136" s="29">
        <f t="shared" si="4"/>
        <v>2000</v>
      </c>
      <c r="G136" s="44">
        <v>0</v>
      </c>
      <c r="H136" s="29">
        <v>0</v>
      </c>
      <c r="I136" s="29">
        <v>2000</v>
      </c>
      <c r="J136" s="29">
        <v>0</v>
      </c>
      <c r="K136" s="28" t="s">
        <v>231</v>
      </c>
    </row>
    <row r="137" spans="1:11" s="30" customFormat="1" ht="45" x14ac:dyDescent="0.25">
      <c r="A137" s="2">
        <v>2</v>
      </c>
      <c r="B137" s="162"/>
      <c r="C137" s="28" t="s">
        <v>232</v>
      </c>
      <c r="D137" s="8" t="s">
        <v>218</v>
      </c>
      <c r="E137" s="8" t="s">
        <v>23</v>
      </c>
      <c r="F137" s="29">
        <f t="shared" si="4"/>
        <v>3697</v>
      </c>
      <c r="G137" s="44">
        <v>0</v>
      </c>
      <c r="H137" s="29">
        <v>0</v>
      </c>
      <c r="I137" s="29">
        <v>3697</v>
      </c>
      <c r="J137" s="29">
        <v>0</v>
      </c>
      <c r="K137" s="28" t="s">
        <v>233</v>
      </c>
    </row>
    <row r="138" spans="1:11" s="30" customFormat="1" ht="30" x14ac:dyDescent="0.25">
      <c r="A138" s="2">
        <v>3</v>
      </c>
      <c r="B138" s="162"/>
      <c r="C138" s="28" t="s">
        <v>234</v>
      </c>
      <c r="D138" s="8" t="s">
        <v>235</v>
      </c>
      <c r="E138" s="8" t="s">
        <v>23</v>
      </c>
      <c r="F138" s="29">
        <f t="shared" si="4"/>
        <v>1000</v>
      </c>
      <c r="G138" s="44">
        <v>0</v>
      </c>
      <c r="H138" s="29">
        <v>0</v>
      </c>
      <c r="I138" s="29">
        <v>1000</v>
      </c>
      <c r="J138" s="29">
        <v>0</v>
      </c>
      <c r="K138" s="28" t="s">
        <v>231</v>
      </c>
    </row>
    <row r="139" spans="1:11" s="30" customFormat="1" ht="31.9" customHeight="1" x14ac:dyDescent="0.25">
      <c r="A139" s="2">
        <v>4</v>
      </c>
      <c r="B139" s="163"/>
      <c r="C139" s="28" t="s">
        <v>236</v>
      </c>
      <c r="D139" s="2" t="s">
        <v>132</v>
      </c>
      <c r="E139" s="2" t="s">
        <v>23</v>
      </c>
      <c r="F139" s="29">
        <f t="shared" si="4"/>
        <v>2000</v>
      </c>
      <c r="G139" s="44">
        <v>0</v>
      </c>
      <c r="H139" s="29">
        <v>0</v>
      </c>
      <c r="I139" s="29">
        <v>2000</v>
      </c>
      <c r="J139" s="29">
        <v>0</v>
      </c>
      <c r="K139" s="28" t="s">
        <v>231</v>
      </c>
    </row>
    <row r="140" spans="1:11" s="34" customFormat="1" ht="33" customHeight="1" x14ac:dyDescent="0.25">
      <c r="A140" s="172" t="s">
        <v>1196</v>
      </c>
      <c r="B140" s="172"/>
      <c r="C140" s="172"/>
      <c r="D140" s="20"/>
      <c r="E140" s="20"/>
      <c r="F140" s="32">
        <f>SUM(F136:F139)</f>
        <v>8697</v>
      </c>
      <c r="G140" s="33">
        <f t="shared" ref="G140:J140" si="10">SUM(G136:G139)</f>
        <v>0</v>
      </c>
      <c r="H140" s="33">
        <f t="shared" si="10"/>
        <v>0</v>
      </c>
      <c r="I140" s="33">
        <f t="shared" si="10"/>
        <v>8697</v>
      </c>
      <c r="J140" s="33">
        <f t="shared" si="10"/>
        <v>0</v>
      </c>
      <c r="K140" s="31"/>
    </row>
    <row r="141" spans="1:11" s="30" customFormat="1" ht="30" customHeight="1" x14ac:dyDescent="0.25">
      <c r="A141" s="50">
        <v>1</v>
      </c>
      <c r="B141" s="161" t="s">
        <v>237</v>
      </c>
      <c r="C141" s="47" t="s">
        <v>238</v>
      </c>
      <c r="D141" s="8" t="s">
        <v>149</v>
      </c>
      <c r="E141" s="2" t="s">
        <v>23</v>
      </c>
      <c r="F141" s="29">
        <f t="shared" ref="F141:F204" si="11">G141+H141+I141+J141</f>
        <v>3626.28</v>
      </c>
      <c r="G141" s="44">
        <v>0</v>
      </c>
      <c r="H141" s="44">
        <v>3626.28</v>
      </c>
      <c r="I141" s="29">
        <v>0</v>
      </c>
      <c r="J141" s="29">
        <v>0</v>
      </c>
      <c r="K141" s="28" t="s">
        <v>37</v>
      </c>
    </row>
    <row r="142" spans="1:11" s="30" customFormat="1" ht="45.6" customHeight="1" x14ac:dyDescent="0.25">
      <c r="A142" s="50">
        <v>2</v>
      </c>
      <c r="B142" s="163"/>
      <c r="C142" s="47" t="s">
        <v>239</v>
      </c>
      <c r="D142" s="157" t="s">
        <v>205</v>
      </c>
      <c r="E142" s="2" t="s">
        <v>23</v>
      </c>
      <c r="F142" s="29">
        <f t="shared" si="11"/>
        <v>3018.91</v>
      </c>
      <c r="G142" s="44">
        <v>0</v>
      </c>
      <c r="H142" s="44">
        <v>3018.91</v>
      </c>
      <c r="I142" s="29">
        <v>0</v>
      </c>
      <c r="J142" s="29">
        <v>0</v>
      </c>
      <c r="K142" s="28" t="s">
        <v>240</v>
      </c>
    </row>
    <row r="143" spans="1:11" s="34" customFormat="1" ht="27.6" customHeight="1" x14ac:dyDescent="0.25">
      <c r="A143" s="188" t="s">
        <v>1197</v>
      </c>
      <c r="B143" s="189"/>
      <c r="C143" s="190"/>
      <c r="D143" s="37"/>
      <c r="E143" s="37"/>
      <c r="F143" s="32">
        <f>SUM(F141:F142)</f>
        <v>6645.1900000000005</v>
      </c>
      <c r="G143" s="33">
        <f>SUM(G141:G142)</f>
        <v>0</v>
      </c>
      <c r="H143" s="33">
        <f>SUM(H141:H142)</f>
        <v>6645.1900000000005</v>
      </c>
      <c r="I143" s="33">
        <f>SUM(I141:I142)</f>
        <v>0</v>
      </c>
      <c r="J143" s="33">
        <f>SUM(J141:J142)</f>
        <v>0</v>
      </c>
      <c r="K143" s="31"/>
    </row>
    <row r="144" spans="1:11" s="30" customFormat="1" ht="39.6" customHeight="1" x14ac:dyDescent="0.25">
      <c r="A144" s="2">
        <v>1</v>
      </c>
      <c r="B144" s="161" t="s">
        <v>237</v>
      </c>
      <c r="C144" s="28" t="s">
        <v>241</v>
      </c>
      <c r="D144" s="8" t="s">
        <v>132</v>
      </c>
      <c r="E144" s="8" t="s">
        <v>36</v>
      </c>
      <c r="F144" s="29">
        <f t="shared" si="11"/>
        <v>6816.44</v>
      </c>
      <c r="G144" s="36">
        <v>0</v>
      </c>
      <c r="H144" s="29">
        <v>0</v>
      </c>
      <c r="I144" s="51">
        <v>6816.44</v>
      </c>
      <c r="J144" s="29">
        <v>0</v>
      </c>
      <c r="K144" s="28" t="s">
        <v>65</v>
      </c>
    </row>
    <row r="145" spans="1:11" s="30" customFormat="1" ht="30" x14ac:dyDescent="0.25">
      <c r="A145" s="2">
        <v>2</v>
      </c>
      <c r="B145" s="162"/>
      <c r="C145" s="28" t="s">
        <v>242</v>
      </c>
      <c r="D145" s="8" t="s">
        <v>149</v>
      </c>
      <c r="E145" s="2" t="s">
        <v>23</v>
      </c>
      <c r="F145" s="29">
        <f t="shared" si="11"/>
        <v>4209.6400000000003</v>
      </c>
      <c r="G145" s="36">
        <v>0</v>
      </c>
      <c r="H145" s="29">
        <v>0</v>
      </c>
      <c r="I145" s="36">
        <v>4209.6400000000003</v>
      </c>
      <c r="J145" s="29">
        <v>0</v>
      </c>
      <c r="K145" s="28" t="s">
        <v>65</v>
      </c>
    </row>
    <row r="146" spans="1:11" s="30" customFormat="1" ht="39" customHeight="1" x14ac:dyDescent="0.25">
      <c r="A146" s="2">
        <v>3</v>
      </c>
      <c r="B146" s="163"/>
      <c r="C146" s="28" t="s">
        <v>243</v>
      </c>
      <c r="D146" s="10" t="s">
        <v>218</v>
      </c>
      <c r="E146" s="2" t="s">
        <v>23</v>
      </c>
      <c r="F146" s="29">
        <f t="shared" si="11"/>
        <v>3018.91</v>
      </c>
      <c r="G146" s="36">
        <v>0</v>
      </c>
      <c r="H146" s="29">
        <v>0</v>
      </c>
      <c r="I146" s="29">
        <v>3018.91</v>
      </c>
      <c r="J146" s="29">
        <v>0</v>
      </c>
      <c r="K146" s="28" t="s">
        <v>65</v>
      </c>
    </row>
    <row r="147" spans="1:11" s="34" customFormat="1" ht="31.9" customHeight="1" x14ac:dyDescent="0.25">
      <c r="A147" s="172" t="s">
        <v>1198</v>
      </c>
      <c r="B147" s="172"/>
      <c r="C147" s="172"/>
      <c r="D147" s="20"/>
      <c r="E147" s="20"/>
      <c r="F147" s="32">
        <f>SUM(F144:F146)</f>
        <v>14044.99</v>
      </c>
      <c r="G147" s="33">
        <f t="shared" ref="G147:J147" si="12">SUM(G144:G146)</f>
        <v>0</v>
      </c>
      <c r="H147" s="33">
        <f t="shared" si="12"/>
        <v>0</v>
      </c>
      <c r="I147" s="33">
        <f t="shared" si="12"/>
        <v>14044.99</v>
      </c>
      <c r="J147" s="33">
        <f t="shared" si="12"/>
        <v>0</v>
      </c>
      <c r="K147" s="31"/>
    </row>
    <row r="148" spans="1:11" s="30" customFormat="1" ht="30" x14ac:dyDescent="0.25">
      <c r="A148" s="2">
        <v>1</v>
      </c>
      <c r="B148" s="161" t="s">
        <v>244</v>
      </c>
      <c r="C148" s="23" t="s">
        <v>245</v>
      </c>
      <c r="D148" s="8" t="s">
        <v>246</v>
      </c>
      <c r="E148" s="8" t="s">
        <v>23</v>
      </c>
      <c r="F148" s="29">
        <f t="shared" si="11"/>
        <v>1293.69</v>
      </c>
      <c r="G148" s="36">
        <v>0</v>
      </c>
      <c r="H148" s="36">
        <v>1293.69</v>
      </c>
      <c r="I148" s="29">
        <v>0</v>
      </c>
      <c r="J148" s="29">
        <v>0</v>
      </c>
      <c r="K148" s="28" t="s">
        <v>37</v>
      </c>
    </row>
    <row r="149" spans="1:11" s="30" customFormat="1" ht="30" x14ac:dyDescent="0.25">
      <c r="A149" s="2">
        <v>2</v>
      </c>
      <c r="B149" s="162"/>
      <c r="C149" s="23" t="s">
        <v>247</v>
      </c>
      <c r="D149" s="8" t="s">
        <v>132</v>
      </c>
      <c r="E149" s="8" t="s">
        <v>23</v>
      </c>
      <c r="F149" s="29">
        <f t="shared" si="11"/>
        <v>7835.05</v>
      </c>
      <c r="G149" s="36">
        <v>0</v>
      </c>
      <c r="H149" s="36">
        <v>7835.05</v>
      </c>
      <c r="I149" s="29">
        <v>0</v>
      </c>
      <c r="J149" s="29">
        <v>0</v>
      </c>
      <c r="K149" s="28" t="s">
        <v>37</v>
      </c>
    </row>
    <row r="150" spans="1:11" s="30" customFormat="1" ht="45" x14ac:dyDescent="0.25">
      <c r="A150" s="2">
        <v>3</v>
      </c>
      <c r="B150" s="162"/>
      <c r="C150" s="23" t="s">
        <v>248</v>
      </c>
      <c r="D150" s="8" t="s">
        <v>249</v>
      </c>
      <c r="E150" s="8" t="s">
        <v>23</v>
      </c>
      <c r="F150" s="29">
        <f t="shared" si="11"/>
        <v>8935.35</v>
      </c>
      <c r="G150" s="36">
        <v>0</v>
      </c>
      <c r="H150" s="36">
        <v>8935.35</v>
      </c>
      <c r="I150" s="29">
        <v>0</v>
      </c>
      <c r="J150" s="29">
        <v>0</v>
      </c>
      <c r="K150" s="28" t="s">
        <v>37</v>
      </c>
    </row>
    <row r="151" spans="1:11" s="30" customFormat="1" ht="30" x14ac:dyDescent="0.25">
      <c r="A151" s="2">
        <v>4</v>
      </c>
      <c r="B151" s="162"/>
      <c r="C151" s="23" t="s">
        <v>250</v>
      </c>
      <c r="D151" s="8" t="s">
        <v>235</v>
      </c>
      <c r="E151" s="8" t="s">
        <v>23</v>
      </c>
      <c r="F151" s="29">
        <f t="shared" si="11"/>
        <v>7143.15</v>
      </c>
      <c r="G151" s="36">
        <v>0</v>
      </c>
      <c r="H151" s="36">
        <v>7143.15</v>
      </c>
      <c r="I151" s="29">
        <v>0</v>
      </c>
      <c r="J151" s="29">
        <v>0</v>
      </c>
      <c r="K151" s="28" t="s">
        <v>37</v>
      </c>
    </row>
    <row r="152" spans="1:11" s="30" customFormat="1" ht="45" x14ac:dyDescent="0.25">
      <c r="A152" s="2">
        <v>5</v>
      </c>
      <c r="B152" s="162"/>
      <c r="C152" s="23" t="s">
        <v>251</v>
      </c>
      <c r="D152" s="8" t="s">
        <v>252</v>
      </c>
      <c r="E152" s="8" t="s">
        <v>23</v>
      </c>
      <c r="F152" s="29">
        <f t="shared" si="11"/>
        <v>2797.78</v>
      </c>
      <c r="G152" s="36">
        <v>0</v>
      </c>
      <c r="H152" s="36">
        <v>2797.78</v>
      </c>
      <c r="I152" s="29">
        <v>0</v>
      </c>
      <c r="J152" s="29">
        <v>0</v>
      </c>
      <c r="K152" s="28" t="s">
        <v>37</v>
      </c>
    </row>
    <row r="153" spans="1:11" s="30" customFormat="1" ht="30" x14ac:dyDescent="0.25">
      <c r="A153" s="2">
        <v>6</v>
      </c>
      <c r="B153" s="163"/>
      <c r="C153" s="23" t="s">
        <v>253</v>
      </c>
      <c r="D153" s="8" t="s">
        <v>149</v>
      </c>
      <c r="E153" s="8" t="s">
        <v>23</v>
      </c>
      <c r="F153" s="29">
        <f t="shared" si="11"/>
        <v>1105.1199999999999</v>
      </c>
      <c r="G153" s="36">
        <v>0</v>
      </c>
      <c r="H153" s="36">
        <v>1105.1199999999999</v>
      </c>
      <c r="I153" s="29">
        <v>0</v>
      </c>
      <c r="J153" s="29">
        <v>0</v>
      </c>
      <c r="K153" s="28" t="s">
        <v>37</v>
      </c>
    </row>
    <row r="154" spans="1:11" s="34" customFormat="1" ht="33" customHeight="1" x14ac:dyDescent="0.25">
      <c r="A154" s="188" t="s">
        <v>1199</v>
      </c>
      <c r="B154" s="189"/>
      <c r="C154" s="190"/>
      <c r="D154" s="37"/>
      <c r="E154" s="37"/>
      <c r="F154" s="32">
        <f>SUM(F148:F153)</f>
        <v>29110.139999999996</v>
      </c>
      <c r="G154" s="33">
        <f>SUM(G148:G153)</f>
        <v>0</v>
      </c>
      <c r="H154" s="33">
        <f>SUM(H148:H153)</f>
        <v>29110.139999999996</v>
      </c>
      <c r="I154" s="33">
        <f>SUM(I148:I153)</f>
        <v>0</v>
      </c>
      <c r="J154" s="33">
        <f>SUM(J148:J153)</f>
        <v>0</v>
      </c>
      <c r="K154" s="31"/>
    </row>
    <row r="155" spans="1:11" s="30" customFormat="1" ht="30" x14ac:dyDescent="0.25">
      <c r="A155" s="2">
        <v>1</v>
      </c>
      <c r="B155" s="161" t="s">
        <v>244</v>
      </c>
      <c r="C155" s="23" t="s">
        <v>254</v>
      </c>
      <c r="D155" s="46" t="s">
        <v>246</v>
      </c>
      <c r="E155" s="8" t="s">
        <v>23</v>
      </c>
      <c r="F155" s="29">
        <f t="shared" si="11"/>
        <v>1293.69</v>
      </c>
      <c r="G155" s="36">
        <v>0</v>
      </c>
      <c r="H155" s="29">
        <v>0</v>
      </c>
      <c r="I155" s="36">
        <v>1293.69</v>
      </c>
      <c r="J155" s="29">
        <v>0</v>
      </c>
      <c r="K155" s="28" t="s">
        <v>63</v>
      </c>
    </row>
    <row r="156" spans="1:11" s="30" customFormat="1" ht="30" x14ac:dyDescent="0.25">
      <c r="A156" s="2">
        <v>2</v>
      </c>
      <c r="B156" s="162"/>
      <c r="C156" s="23" t="s">
        <v>256</v>
      </c>
      <c r="D156" s="46" t="s">
        <v>132</v>
      </c>
      <c r="E156" s="8" t="s">
        <v>23</v>
      </c>
      <c r="F156" s="29">
        <f t="shared" si="11"/>
        <v>7924.07</v>
      </c>
      <c r="G156" s="36">
        <v>0</v>
      </c>
      <c r="H156" s="29">
        <v>0</v>
      </c>
      <c r="I156" s="36">
        <v>7924.07</v>
      </c>
      <c r="J156" s="29">
        <v>0</v>
      </c>
      <c r="K156" s="28" t="s">
        <v>63</v>
      </c>
    </row>
    <row r="157" spans="1:11" s="30" customFormat="1" ht="30" x14ac:dyDescent="0.25">
      <c r="A157" s="2">
        <v>3</v>
      </c>
      <c r="B157" s="162"/>
      <c r="C157" s="23" t="s">
        <v>257</v>
      </c>
      <c r="D157" s="46" t="s">
        <v>235</v>
      </c>
      <c r="E157" s="8" t="s">
        <v>23</v>
      </c>
      <c r="F157" s="29">
        <f t="shared" si="11"/>
        <v>9655.2800000000007</v>
      </c>
      <c r="G157" s="36">
        <v>0</v>
      </c>
      <c r="H157" s="29">
        <v>0</v>
      </c>
      <c r="I157" s="36">
        <v>9655.2800000000007</v>
      </c>
      <c r="J157" s="29">
        <v>0</v>
      </c>
      <c r="K157" s="28" t="s">
        <v>63</v>
      </c>
    </row>
    <row r="158" spans="1:11" s="30" customFormat="1" ht="45" x14ac:dyDescent="0.25">
      <c r="A158" s="2">
        <v>4</v>
      </c>
      <c r="B158" s="162"/>
      <c r="C158" s="23" t="s">
        <v>258</v>
      </c>
      <c r="D158" s="46" t="s">
        <v>252</v>
      </c>
      <c r="E158" s="8" t="s">
        <v>23</v>
      </c>
      <c r="F158" s="29">
        <f t="shared" si="11"/>
        <v>2797.78</v>
      </c>
      <c r="G158" s="36">
        <v>0</v>
      </c>
      <c r="H158" s="29">
        <v>0</v>
      </c>
      <c r="I158" s="36">
        <v>2797.78</v>
      </c>
      <c r="J158" s="29">
        <v>0</v>
      </c>
      <c r="K158" s="28" t="s">
        <v>63</v>
      </c>
    </row>
    <row r="159" spans="1:11" s="30" customFormat="1" ht="30" x14ac:dyDescent="0.25">
      <c r="A159" s="2">
        <v>5</v>
      </c>
      <c r="B159" s="163"/>
      <c r="C159" s="23" t="s">
        <v>259</v>
      </c>
      <c r="D159" s="46" t="s">
        <v>149</v>
      </c>
      <c r="E159" s="8" t="s">
        <v>23</v>
      </c>
      <c r="F159" s="29">
        <f t="shared" si="11"/>
        <v>1105.1199999999999</v>
      </c>
      <c r="G159" s="36">
        <v>0</v>
      </c>
      <c r="H159" s="29">
        <v>0</v>
      </c>
      <c r="I159" s="36">
        <v>1105.1199999999999</v>
      </c>
      <c r="J159" s="29">
        <v>0</v>
      </c>
      <c r="K159" s="28" t="s">
        <v>63</v>
      </c>
    </row>
    <row r="160" spans="1:11" s="34" customFormat="1" ht="31.15" customHeight="1" x14ac:dyDescent="0.25">
      <c r="A160" s="172" t="s">
        <v>1200</v>
      </c>
      <c r="B160" s="172"/>
      <c r="C160" s="172"/>
      <c r="D160" s="20"/>
      <c r="E160" s="20"/>
      <c r="F160" s="32">
        <f>SUM(F155:F159)</f>
        <v>22775.94</v>
      </c>
      <c r="G160" s="33">
        <f t="shared" ref="G160:J160" si="13">SUM(G155:G159)</f>
        <v>0</v>
      </c>
      <c r="H160" s="33">
        <f t="shared" si="13"/>
        <v>0</v>
      </c>
      <c r="I160" s="33">
        <f t="shared" si="13"/>
        <v>22775.94</v>
      </c>
      <c r="J160" s="33">
        <f t="shared" si="13"/>
        <v>0</v>
      </c>
      <c r="K160" s="31"/>
    </row>
    <row r="161" spans="1:11" s="30" customFormat="1" ht="30" x14ac:dyDescent="0.25">
      <c r="A161" s="2">
        <v>1</v>
      </c>
      <c r="B161" s="161" t="s">
        <v>260</v>
      </c>
      <c r="C161" s="23" t="s">
        <v>261</v>
      </c>
      <c r="D161" s="2" t="s">
        <v>132</v>
      </c>
      <c r="E161" s="2" t="s">
        <v>23</v>
      </c>
      <c r="F161" s="29">
        <f t="shared" si="11"/>
        <v>3140.41</v>
      </c>
      <c r="G161" s="36">
        <v>0</v>
      </c>
      <c r="H161" s="29">
        <v>0</v>
      </c>
      <c r="I161" s="29">
        <v>3140.41</v>
      </c>
      <c r="J161" s="29">
        <v>0</v>
      </c>
      <c r="K161" s="28" t="s">
        <v>291</v>
      </c>
    </row>
    <row r="162" spans="1:11" s="30" customFormat="1" ht="30" x14ac:dyDescent="0.25">
      <c r="A162" s="2">
        <v>2</v>
      </c>
      <c r="B162" s="162"/>
      <c r="C162" s="23" t="s">
        <v>263</v>
      </c>
      <c r="D162" s="2" t="s">
        <v>264</v>
      </c>
      <c r="E162" s="2" t="s">
        <v>23</v>
      </c>
      <c r="F162" s="29">
        <f t="shared" si="11"/>
        <v>2838.25</v>
      </c>
      <c r="G162" s="36">
        <v>0</v>
      </c>
      <c r="H162" s="29">
        <v>0</v>
      </c>
      <c r="I162" s="29">
        <v>2838.25</v>
      </c>
      <c r="J162" s="29">
        <v>0</v>
      </c>
      <c r="K162" s="28" t="s">
        <v>291</v>
      </c>
    </row>
    <row r="163" spans="1:11" s="30" customFormat="1" ht="30" x14ac:dyDescent="0.25">
      <c r="A163" s="2">
        <v>3</v>
      </c>
      <c r="B163" s="162"/>
      <c r="C163" s="23" t="s">
        <v>265</v>
      </c>
      <c r="D163" s="2" t="s">
        <v>266</v>
      </c>
      <c r="E163" s="2" t="s">
        <v>23</v>
      </c>
      <c r="F163" s="29">
        <f t="shared" si="11"/>
        <v>915.29</v>
      </c>
      <c r="G163" s="36">
        <v>0</v>
      </c>
      <c r="H163" s="29">
        <v>0</v>
      </c>
      <c r="I163" s="29">
        <v>915.29</v>
      </c>
      <c r="J163" s="29">
        <v>0</v>
      </c>
      <c r="K163" s="28" t="s">
        <v>291</v>
      </c>
    </row>
    <row r="164" spans="1:11" s="30" customFormat="1" ht="30" x14ac:dyDescent="0.25">
      <c r="A164" s="2">
        <v>4</v>
      </c>
      <c r="B164" s="163"/>
      <c r="C164" s="23" t="s">
        <v>267</v>
      </c>
      <c r="D164" s="2" t="s">
        <v>268</v>
      </c>
      <c r="E164" s="2" t="s">
        <v>23</v>
      </c>
      <c r="F164" s="29">
        <f t="shared" si="11"/>
        <v>869.39</v>
      </c>
      <c r="G164" s="36">
        <v>0</v>
      </c>
      <c r="H164" s="29">
        <v>0</v>
      </c>
      <c r="I164" s="29">
        <v>869.39</v>
      </c>
      <c r="J164" s="29">
        <v>0</v>
      </c>
      <c r="K164" s="28" t="s">
        <v>291</v>
      </c>
    </row>
    <row r="165" spans="1:11" s="34" customFormat="1" ht="27" customHeight="1" x14ac:dyDescent="0.25">
      <c r="A165" s="172" t="s">
        <v>1201</v>
      </c>
      <c r="B165" s="172"/>
      <c r="C165" s="172"/>
      <c r="D165" s="20"/>
      <c r="E165" s="20"/>
      <c r="F165" s="32">
        <f>SUM(F161:F164)</f>
        <v>7763.34</v>
      </c>
      <c r="G165" s="33">
        <f>SUM(G161:G164)</f>
        <v>0</v>
      </c>
      <c r="H165" s="33">
        <f>SUM(H161:H164)</f>
        <v>0</v>
      </c>
      <c r="I165" s="33">
        <f>SUM(I161:I164)</f>
        <v>7763.34</v>
      </c>
      <c r="J165" s="33">
        <f>SUM(J161:J164)</f>
        <v>0</v>
      </c>
      <c r="K165" s="31"/>
    </row>
    <row r="166" spans="1:11" s="30" customFormat="1" ht="30" x14ac:dyDescent="0.25">
      <c r="A166" s="2">
        <v>1</v>
      </c>
      <c r="B166" s="161" t="s">
        <v>269</v>
      </c>
      <c r="C166" s="23" t="s">
        <v>270</v>
      </c>
      <c r="D166" s="46" t="s">
        <v>271</v>
      </c>
      <c r="E166" s="8" t="s">
        <v>23</v>
      </c>
      <c r="F166" s="29">
        <f t="shared" si="11"/>
        <v>194.7</v>
      </c>
      <c r="G166" s="36">
        <v>0</v>
      </c>
      <c r="H166" s="36">
        <v>194.7</v>
      </c>
      <c r="I166" s="29">
        <v>0</v>
      </c>
      <c r="J166" s="29">
        <v>0</v>
      </c>
      <c r="K166" s="28" t="s">
        <v>272</v>
      </c>
    </row>
    <row r="167" spans="1:11" s="30" customFormat="1" ht="37.15" customHeight="1" x14ac:dyDescent="0.25">
      <c r="A167" s="2">
        <v>2</v>
      </c>
      <c r="B167" s="163"/>
      <c r="C167" s="23" t="s">
        <v>273</v>
      </c>
      <c r="D167" s="46" t="s">
        <v>205</v>
      </c>
      <c r="E167" s="8" t="s">
        <v>23</v>
      </c>
      <c r="F167" s="29">
        <f t="shared" si="11"/>
        <v>831.48</v>
      </c>
      <c r="G167" s="36">
        <v>0</v>
      </c>
      <c r="H167" s="36">
        <v>831.48</v>
      </c>
      <c r="I167" s="29">
        <v>0</v>
      </c>
      <c r="J167" s="29">
        <v>0</v>
      </c>
      <c r="K167" s="28" t="s">
        <v>272</v>
      </c>
    </row>
    <row r="168" spans="1:11" s="34" customFormat="1" ht="28.9" customHeight="1" x14ac:dyDescent="0.25">
      <c r="A168" s="188" t="s">
        <v>1202</v>
      </c>
      <c r="B168" s="189"/>
      <c r="C168" s="190"/>
      <c r="D168" s="37"/>
      <c r="E168" s="37"/>
      <c r="F168" s="32">
        <f>SUM(F166:F167)</f>
        <v>1026.18</v>
      </c>
      <c r="G168" s="33">
        <f>SUM(G166:G167)</f>
        <v>0</v>
      </c>
      <c r="H168" s="33">
        <f>SUM(H166:H167)</f>
        <v>1026.18</v>
      </c>
      <c r="I168" s="33">
        <f>SUM(I166:I167)</f>
        <v>0</v>
      </c>
      <c r="J168" s="33">
        <f>SUM(J166:J167)</f>
        <v>0</v>
      </c>
      <c r="K168" s="31"/>
    </row>
    <row r="169" spans="1:11" s="30" customFormat="1" ht="45" x14ac:dyDescent="0.25">
      <c r="A169" s="2">
        <v>1</v>
      </c>
      <c r="B169" s="161" t="s">
        <v>269</v>
      </c>
      <c r="C169" s="23" t="s">
        <v>274</v>
      </c>
      <c r="D169" s="8" t="s">
        <v>275</v>
      </c>
      <c r="E169" s="8" t="s">
        <v>23</v>
      </c>
      <c r="F169" s="29">
        <f t="shared" si="11"/>
        <v>10</v>
      </c>
      <c r="G169" s="36">
        <v>0</v>
      </c>
      <c r="H169" s="44">
        <v>10</v>
      </c>
      <c r="I169" s="29">
        <v>0</v>
      </c>
      <c r="J169" s="29">
        <v>0</v>
      </c>
      <c r="K169" s="28" t="s">
        <v>63</v>
      </c>
    </row>
    <row r="170" spans="1:11" s="30" customFormat="1" ht="30" x14ac:dyDescent="0.25">
      <c r="A170" s="2">
        <v>2</v>
      </c>
      <c r="B170" s="162"/>
      <c r="C170" s="23" t="s">
        <v>276</v>
      </c>
      <c r="D170" s="46" t="s">
        <v>277</v>
      </c>
      <c r="E170" s="8" t="s">
        <v>23</v>
      </c>
      <c r="F170" s="29">
        <f t="shared" si="11"/>
        <v>194.7</v>
      </c>
      <c r="G170" s="36">
        <v>0</v>
      </c>
      <c r="H170" s="36">
        <v>0</v>
      </c>
      <c r="I170" s="36">
        <v>194.7</v>
      </c>
      <c r="J170" s="29">
        <v>0</v>
      </c>
      <c r="K170" s="28" t="s">
        <v>278</v>
      </c>
    </row>
    <row r="171" spans="1:11" s="30" customFormat="1" ht="30" x14ac:dyDescent="0.25">
      <c r="A171" s="2">
        <v>3</v>
      </c>
      <c r="B171" s="162"/>
      <c r="C171" s="23" t="s">
        <v>279</v>
      </c>
      <c r="D171" s="46" t="s">
        <v>280</v>
      </c>
      <c r="E171" s="8" t="s">
        <v>23</v>
      </c>
      <c r="F171" s="29">
        <f t="shared" si="11"/>
        <v>400.17</v>
      </c>
      <c r="G171" s="36">
        <v>0</v>
      </c>
      <c r="H171" s="36">
        <v>0</v>
      </c>
      <c r="I171" s="36">
        <v>400.17</v>
      </c>
      <c r="J171" s="29">
        <v>0</v>
      </c>
      <c r="K171" s="28" t="s">
        <v>281</v>
      </c>
    </row>
    <row r="172" spans="1:11" s="30" customFormat="1" ht="30" x14ac:dyDescent="0.25">
      <c r="A172" s="2">
        <v>4</v>
      </c>
      <c r="B172" s="162"/>
      <c r="C172" s="23" t="s">
        <v>282</v>
      </c>
      <c r="D172" s="8" t="s">
        <v>283</v>
      </c>
      <c r="E172" s="8" t="s">
        <v>23</v>
      </c>
      <c r="F172" s="29">
        <f t="shared" si="11"/>
        <v>758.83</v>
      </c>
      <c r="G172" s="36">
        <v>0</v>
      </c>
      <c r="H172" s="36">
        <v>758.83</v>
      </c>
      <c r="I172" s="29">
        <v>0</v>
      </c>
      <c r="J172" s="29">
        <v>0</v>
      </c>
      <c r="K172" s="28" t="s">
        <v>284</v>
      </c>
    </row>
    <row r="173" spans="1:11" s="30" customFormat="1" ht="45" x14ac:dyDescent="0.25">
      <c r="A173" s="2">
        <v>5</v>
      </c>
      <c r="B173" s="162"/>
      <c r="C173" s="23" t="s">
        <v>285</v>
      </c>
      <c r="D173" s="46" t="s">
        <v>218</v>
      </c>
      <c r="E173" s="8" t="s">
        <v>23</v>
      </c>
      <c r="F173" s="29">
        <f t="shared" si="11"/>
        <v>831.48</v>
      </c>
      <c r="G173" s="36">
        <v>0</v>
      </c>
      <c r="H173" s="36">
        <v>0</v>
      </c>
      <c r="I173" s="36">
        <v>831.48</v>
      </c>
      <c r="J173" s="29">
        <v>0</v>
      </c>
      <c r="K173" s="28" t="s">
        <v>278</v>
      </c>
    </row>
    <row r="174" spans="1:11" s="30" customFormat="1" ht="30" x14ac:dyDescent="0.25">
      <c r="A174" s="2">
        <v>6</v>
      </c>
      <c r="B174" s="162"/>
      <c r="C174" s="23" t="s">
        <v>286</v>
      </c>
      <c r="D174" s="46" t="s">
        <v>287</v>
      </c>
      <c r="E174" s="8" t="s">
        <v>23</v>
      </c>
      <c r="F174" s="29">
        <f t="shared" si="11"/>
        <v>909.72</v>
      </c>
      <c r="G174" s="36">
        <v>0</v>
      </c>
      <c r="H174" s="36">
        <v>0</v>
      </c>
      <c r="I174" s="36">
        <v>909.72</v>
      </c>
      <c r="J174" s="29">
        <v>0</v>
      </c>
      <c r="K174" s="28" t="s">
        <v>281</v>
      </c>
    </row>
    <row r="175" spans="1:11" s="30" customFormat="1" ht="30" x14ac:dyDescent="0.25">
      <c r="A175" s="2">
        <v>7</v>
      </c>
      <c r="B175" s="163"/>
      <c r="C175" s="23" t="s">
        <v>288</v>
      </c>
      <c r="D175" s="8" t="s">
        <v>174</v>
      </c>
      <c r="E175" s="8" t="s">
        <v>23</v>
      </c>
      <c r="F175" s="29">
        <f t="shared" si="11"/>
        <v>5256</v>
      </c>
      <c r="G175" s="36">
        <v>0</v>
      </c>
      <c r="H175" s="36">
        <v>0</v>
      </c>
      <c r="I175" s="36">
        <v>5256</v>
      </c>
      <c r="J175" s="29">
        <v>0</v>
      </c>
      <c r="K175" s="28" t="s">
        <v>210</v>
      </c>
    </row>
    <row r="176" spans="1:11" s="34" customFormat="1" ht="26.45" customHeight="1" x14ac:dyDescent="0.25">
      <c r="A176" s="172" t="s">
        <v>1203</v>
      </c>
      <c r="B176" s="172"/>
      <c r="C176" s="172"/>
      <c r="D176" s="20"/>
      <c r="E176" s="20"/>
      <c r="F176" s="32">
        <f>SUM(F169:F175)</f>
        <v>8360.9000000000015</v>
      </c>
      <c r="G176" s="33">
        <f t="shared" ref="G176:J176" si="14">SUM(G169:G175)</f>
        <v>0</v>
      </c>
      <c r="H176" s="33">
        <f t="shared" si="14"/>
        <v>768.83</v>
      </c>
      <c r="I176" s="33">
        <f t="shared" si="14"/>
        <v>7592.07</v>
      </c>
      <c r="J176" s="33">
        <f t="shared" si="14"/>
        <v>0</v>
      </c>
      <c r="K176" s="31"/>
    </row>
    <row r="177" spans="1:11" s="30" customFormat="1" ht="45" x14ac:dyDescent="0.25">
      <c r="A177" s="2">
        <v>1</v>
      </c>
      <c r="B177" s="161" t="s">
        <v>269</v>
      </c>
      <c r="C177" s="23" t="s">
        <v>289</v>
      </c>
      <c r="D177" s="8" t="s">
        <v>275</v>
      </c>
      <c r="E177" s="8" t="s">
        <v>23</v>
      </c>
      <c r="F177" s="29">
        <f t="shared" si="11"/>
        <v>10</v>
      </c>
      <c r="G177" s="29">
        <v>0</v>
      </c>
      <c r="H177" s="29">
        <v>0</v>
      </c>
      <c r="I177" s="29">
        <v>10</v>
      </c>
      <c r="J177" s="29">
        <v>0</v>
      </c>
      <c r="K177" s="28" t="s">
        <v>107</v>
      </c>
    </row>
    <row r="178" spans="1:11" s="30" customFormat="1" ht="30" x14ac:dyDescent="0.25">
      <c r="A178" s="2">
        <v>2</v>
      </c>
      <c r="B178" s="163"/>
      <c r="C178" s="23" t="s">
        <v>290</v>
      </c>
      <c r="D178" s="8" t="s">
        <v>283</v>
      </c>
      <c r="E178" s="8" t="s">
        <v>23</v>
      </c>
      <c r="F178" s="29">
        <f t="shared" si="11"/>
        <v>758.83</v>
      </c>
      <c r="G178" s="29">
        <v>0</v>
      </c>
      <c r="H178" s="29">
        <v>0</v>
      </c>
      <c r="I178" s="36">
        <v>758.83</v>
      </c>
      <c r="J178" s="29">
        <v>0</v>
      </c>
      <c r="K178" s="28" t="s">
        <v>291</v>
      </c>
    </row>
    <row r="179" spans="1:11" s="34" customFormat="1" ht="26.45" customHeight="1" x14ac:dyDescent="0.25">
      <c r="A179" s="172" t="s">
        <v>1204</v>
      </c>
      <c r="B179" s="172"/>
      <c r="C179" s="172"/>
      <c r="D179" s="20"/>
      <c r="E179" s="20"/>
      <c r="F179" s="32">
        <f>SUM(F177:F178)</f>
        <v>768.83</v>
      </c>
      <c r="G179" s="33">
        <f t="shared" ref="G179:J179" si="15">SUM(G177:G178)</f>
        <v>0</v>
      </c>
      <c r="H179" s="33">
        <f t="shared" si="15"/>
        <v>0</v>
      </c>
      <c r="I179" s="33">
        <f t="shared" si="15"/>
        <v>768.83</v>
      </c>
      <c r="J179" s="33">
        <f t="shared" si="15"/>
        <v>0</v>
      </c>
      <c r="K179" s="31"/>
    </row>
    <row r="180" spans="1:11" s="30" customFormat="1" ht="60" x14ac:dyDescent="0.25">
      <c r="A180" s="2">
        <v>1</v>
      </c>
      <c r="B180" s="161" t="s">
        <v>292</v>
      </c>
      <c r="C180" s="23" t="s">
        <v>293</v>
      </c>
      <c r="D180" s="8" t="s">
        <v>294</v>
      </c>
      <c r="E180" s="8" t="s">
        <v>23</v>
      </c>
      <c r="F180" s="29">
        <f t="shared" si="11"/>
        <v>465.92</v>
      </c>
      <c r="G180" s="29">
        <v>0</v>
      </c>
      <c r="H180" s="29">
        <v>222.83</v>
      </c>
      <c r="I180" s="29">
        <v>243.09</v>
      </c>
      <c r="J180" s="29">
        <v>0</v>
      </c>
      <c r="K180" s="28" t="s">
        <v>54</v>
      </c>
    </row>
    <row r="181" spans="1:11" s="30" customFormat="1" ht="30" x14ac:dyDescent="0.25">
      <c r="A181" s="2">
        <v>2</v>
      </c>
      <c r="B181" s="162"/>
      <c r="C181" s="23" t="s">
        <v>295</v>
      </c>
      <c r="D181" s="8" t="s">
        <v>296</v>
      </c>
      <c r="E181" s="8" t="s">
        <v>23</v>
      </c>
      <c r="F181" s="29">
        <f t="shared" si="11"/>
        <v>320.83</v>
      </c>
      <c r="G181" s="29">
        <v>0</v>
      </c>
      <c r="H181" s="29">
        <v>153.44</v>
      </c>
      <c r="I181" s="29">
        <v>167.39</v>
      </c>
      <c r="J181" s="29">
        <v>0</v>
      </c>
      <c r="K181" s="28" t="s">
        <v>54</v>
      </c>
    </row>
    <row r="182" spans="1:11" s="30" customFormat="1" ht="30" x14ac:dyDescent="0.25">
      <c r="A182" s="2">
        <v>3</v>
      </c>
      <c r="B182" s="162"/>
      <c r="C182" s="23" t="s">
        <v>297</v>
      </c>
      <c r="D182" s="8" t="s">
        <v>149</v>
      </c>
      <c r="E182" s="8" t="s">
        <v>23</v>
      </c>
      <c r="F182" s="29">
        <f t="shared" si="11"/>
        <v>4641.8099999999995</v>
      </c>
      <c r="G182" s="29">
        <v>0</v>
      </c>
      <c r="H182" s="29">
        <v>2220</v>
      </c>
      <c r="I182" s="29">
        <v>2421.81</v>
      </c>
      <c r="J182" s="29">
        <v>0</v>
      </c>
      <c r="K182" s="28" t="s">
        <v>54</v>
      </c>
    </row>
    <row r="183" spans="1:11" s="30" customFormat="1" ht="30" x14ac:dyDescent="0.25">
      <c r="A183" s="2">
        <v>4</v>
      </c>
      <c r="B183" s="162"/>
      <c r="C183" s="23" t="s">
        <v>298</v>
      </c>
      <c r="D183" s="8" t="s">
        <v>299</v>
      </c>
      <c r="E183" s="8" t="s">
        <v>23</v>
      </c>
      <c r="F183" s="29">
        <f t="shared" si="11"/>
        <v>71.25</v>
      </c>
      <c r="G183" s="29">
        <v>0</v>
      </c>
      <c r="H183" s="29">
        <v>34.08</v>
      </c>
      <c r="I183" s="29">
        <v>37.17</v>
      </c>
      <c r="J183" s="29">
        <v>0</v>
      </c>
      <c r="K183" s="28" t="s">
        <v>54</v>
      </c>
    </row>
    <row r="184" spans="1:11" s="30" customFormat="1" ht="30" x14ac:dyDescent="0.25">
      <c r="A184" s="2">
        <v>5</v>
      </c>
      <c r="B184" s="162"/>
      <c r="C184" s="23" t="s">
        <v>300</v>
      </c>
      <c r="D184" s="8" t="s">
        <v>301</v>
      </c>
      <c r="E184" s="8" t="s">
        <v>23</v>
      </c>
      <c r="F184" s="29">
        <f t="shared" si="11"/>
        <v>180.6</v>
      </c>
      <c r="G184" s="29">
        <v>0</v>
      </c>
      <c r="H184" s="29">
        <v>86.41</v>
      </c>
      <c r="I184" s="29">
        <v>94.19</v>
      </c>
      <c r="J184" s="29">
        <v>0</v>
      </c>
      <c r="K184" s="28" t="s">
        <v>54</v>
      </c>
    </row>
    <row r="185" spans="1:11" s="30" customFormat="1" ht="30" x14ac:dyDescent="0.25">
      <c r="A185" s="2">
        <v>6</v>
      </c>
      <c r="B185" s="162"/>
      <c r="C185" s="23" t="s">
        <v>302</v>
      </c>
      <c r="D185" s="8" t="s">
        <v>266</v>
      </c>
      <c r="E185" s="8" t="s">
        <v>23</v>
      </c>
      <c r="F185" s="29">
        <f t="shared" si="11"/>
        <v>1136.49</v>
      </c>
      <c r="G185" s="29">
        <v>0</v>
      </c>
      <c r="H185" s="29">
        <v>543.41</v>
      </c>
      <c r="I185" s="29">
        <v>593.08000000000004</v>
      </c>
      <c r="J185" s="29">
        <v>0</v>
      </c>
      <c r="K185" s="28" t="s">
        <v>54</v>
      </c>
    </row>
    <row r="186" spans="1:11" s="30" customFormat="1" ht="31.5" customHeight="1" x14ac:dyDescent="0.25">
      <c r="A186" s="2">
        <v>7</v>
      </c>
      <c r="B186" s="162"/>
      <c r="C186" s="23" t="s">
        <v>303</v>
      </c>
      <c r="D186" s="8" t="s">
        <v>304</v>
      </c>
      <c r="E186" s="8" t="s">
        <v>23</v>
      </c>
      <c r="F186" s="29">
        <f t="shared" si="11"/>
        <v>35.99</v>
      </c>
      <c r="G186" s="29">
        <v>0</v>
      </c>
      <c r="H186" s="29">
        <v>17.21</v>
      </c>
      <c r="I186" s="29">
        <v>18.78</v>
      </c>
      <c r="J186" s="29">
        <v>0</v>
      </c>
      <c r="K186" s="28" t="s">
        <v>54</v>
      </c>
    </row>
    <row r="187" spans="1:11" s="30" customFormat="1" ht="30" x14ac:dyDescent="0.25">
      <c r="A187" s="2">
        <v>8</v>
      </c>
      <c r="B187" s="162"/>
      <c r="C187" s="23" t="s">
        <v>305</v>
      </c>
      <c r="D187" s="8" t="s">
        <v>306</v>
      </c>
      <c r="E187" s="8" t="s">
        <v>23</v>
      </c>
      <c r="F187" s="29">
        <f t="shared" si="11"/>
        <v>524.76</v>
      </c>
      <c r="G187" s="29">
        <v>0</v>
      </c>
      <c r="H187" s="29">
        <v>238.53</v>
      </c>
      <c r="I187" s="29">
        <v>286.23</v>
      </c>
      <c r="J187" s="29">
        <v>0</v>
      </c>
      <c r="K187" s="28" t="s">
        <v>54</v>
      </c>
    </row>
    <row r="188" spans="1:11" s="30" customFormat="1" ht="30" x14ac:dyDescent="0.25">
      <c r="A188" s="2">
        <v>9</v>
      </c>
      <c r="B188" s="162"/>
      <c r="C188" s="23" t="s">
        <v>307</v>
      </c>
      <c r="D188" s="8" t="s">
        <v>308</v>
      </c>
      <c r="E188" s="8" t="s">
        <v>23</v>
      </c>
      <c r="F188" s="29">
        <f t="shared" si="11"/>
        <v>944.28</v>
      </c>
      <c r="G188" s="29">
        <v>0</v>
      </c>
      <c r="H188" s="29">
        <v>444.37</v>
      </c>
      <c r="I188" s="29">
        <v>499.91</v>
      </c>
      <c r="J188" s="29">
        <v>0</v>
      </c>
      <c r="K188" s="28" t="s">
        <v>54</v>
      </c>
    </row>
    <row r="189" spans="1:11" s="30" customFormat="1" ht="30" x14ac:dyDescent="0.25">
      <c r="A189" s="2">
        <v>10</v>
      </c>
      <c r="B189" s="162"/>
      <c r="C189" s="23" t="s">
        <v>309</v>
      </c>
      <c r="D189" s="8" t="s">
        <v>132</v>
      </c>
      <c r="E189" s="8" t="s">
        <v>23</v>
      </c>
      <c r="F189" s="29">
        <f t="shared" si="11"/>
        <v>1491.03</v>
      </c>
      <c r="G189" s="29">
        <v>0</v>
      </c>
      <c r="H189" s="29">
        <v>724.79</v>
      </c>
      <c r="I189" s="29">
        <v>766.24</v>
      </c>
      <c r="J189" s="29">
        <v>0</v>
      </c>
      <c r="K189" s="28" t="s">
        <v>54</v>
      </c>
    </row>
    <row r="190" spans="1:11" s="30" customFormat="1" ht="30" x14ac:dyDescent="0.25">
      <c r="A190" s="2">
        <v>11</v>
      </c>
      <c r="B190" s="162"/>
      <c r="C190" s="23" t="s">
        <v>310</v>
      </c>
      <c r="D190" s="8" t="s">
        <v>311</v>
      </c>
      <c r="E190" s="8" t="s">
        <v>23</v>
      </c>
      <c r="F190" s="29">
        <f t="shared" si="11"/>
        <v>62.48</v>
      </c>
      <c r="G190" s="29">
        <v>0</v>
      </c>
      <c r="H190" s="29">
        <v>62.48</v>
      </c>
      <c r="I190" s="29">
        <v>0</v>
      </c>
      <c r="J190" s="29">
        <v>0</v>
      </c>
      <c r="K190" s="28" t="s">
        <v>54</v>
      </c>
    </row>
    <row r="191" spans="1:11" s="30" customFormat="1" ht="30" x14ac:dyDescent="0.25">
      <c r="A191" s="2">
        <v>12</v>
      </c>
      <c r="B191" s="162"/>
      <c r="C191" s="23" t="s">
        <v>312</v>
      </c>
      <c r="D191" s="8" t="s">
        <v>313</v>
      </c>
      <c r="E191" s="8" t="s">
        <v>23</v>
      </c>
      <c r="F191" s="29">
        <f t="shared" si="11"/>
        <v>18</v>
      </c>
      <c r="G191" s="29">
        <v>0</v>
      </c>
      <c r="H191" s="29">
        <v>18</v>
      </c>
      <c r="I191" s="29">
        <v>0</v>
      </c>
      <c r="J191" s="29">
        <v>0</v>
      </c>
      <c r="K191" s="28" t="s">
        <v>54</v>
      </c>
    </row>
    <row r="192" spans="1:11" s="30" customFormat="1" ht="30" x14ac:dyDescent="0.25">
      <c r="A192" s="2">
        <v>13</v>
      </c>
      <c r="B192" s="162"/>
      <c r="C192" s="23" t="s">
        <v>314</v>
      </c>
      <c r="D192" s="8" t="s">
        <v>283</v>
      </c>
      <c r="E192" s="8" t="s">
        <v>23</v>
      </c>
      <c r="F192" s="29">
        <f t="shared" si="11"/>
        <v>29.75</v>
      </c>
      <c r="G192" s="29">
        <v>0</v>
      </c>
      <c r="H192" s="29">
        <v>29.75</v>
      </c>
      <c r="I192" s="29">
        <v>0</v>
      </c>
      <c r="J192" s="29">
        <v>0</v>
      </c>
      <c r="K192" s="28" t="s">
        <v>54</v>
      </c>
    </row>
    <row r="193" spans="1:11" s="30" customFormat="1" ht="30" x14ac:dyDescent="0.25">
      <c r="A193" s="2">
        <v>14</v>
      </c>
      <c r="B193" s="162"/>
      <c r="C193" s="23" t="s">
        <v>315</v>
      </c>
      <c r="D193" s="8" t="s">
        <v>316</v>
      </c>
      <c r="E193" s="8" t="s">
        <v>23</v>
      </c>
      <c r="F193" s="29">
        <f t="shared" si="11"/>
        <v>35</v>
      </c>
      <c r="G193" s="29">
        <v>0</v>
      </c>
      <c r="H193" s="29">
        <v>35</v>
      </c>
      <c r="I193" s="29">
        <v>0</v>
      </c>
      <c r="J193" s="29">
        <v>0</v>
      </c>
      <c r="K193" s="28" t="s">
        <v>54</v>
      </c>
    </row>
    <row r="194" spans="1:11" s="30" customFormat="1" ht="30" x14ac:dyDescent="0.25">
      <c r="A194" s="2">
        <v>15</v>
      </c>
      <c r="B194" s="162"/>
      <c r="C194" s="23" t="s">
        <v>317</v>
      </c>
      <c r="D194" s="8" t="s">
        <v>318</v>
      </c>
      <c r="E194" s="8" t="s">
        <v>23</v>
      </c>
      <c r="F194" s="29">
        <f t="shared" si="11"/>
        <v>350</v>
      </c>
      <c r="G194" s="29">
        <v>0</v>
      </c>
      <c r="H194" s="29">
        <v>350</v>
      </c>
      <c r="I194" s="29">
        <v>0</v>
      </c>
      <c r="J194" s="29">
        <v>0</v>
      </c>
      <c r="K194" s="28" t="s">
        <v>54</v>
      </c>
    </row>
    <row r="195" spans="1:11" s="30" customFormat="1" ht="30" x14ac:dyDescent="0.25">
      <c r="A195" s="2">
        <v>16</v>
      </c>
      <c r="B195" s="162"/>
      <c r="C195" s="23" t="s">
        <v>319</v>
      </c>
      <c r="D195" s="8" t="s">
        <v>320</v>
      </c>
      <c r="E195" s="8" t="s">
        <v>23</v>
      </c>
      <c r="F195" s="29">
        <f t="shared" si="11"/>
        <v>135</v>
      </c>
      <c r="G195" s="29">
        <v>0</v>
      </c>
      <c r="H195" s="29">
        <v>135</v>
      </c>
      <c r="I195" s="29">
        <v>0</v>
      </c>
      <c r="J195" s="29">
        <v>0</v>
      </c>
      <c r="K195" s="28" t="s">
        <v>54</v>
      </c>
    </row>
    <row r="196" spans="1:11" s="30" customFormat="1" ht="30" x14ac:dyDescent="0.25">
      <c r="A196" s="2">
        <v>17</v>
      </c>
      <c r="B196" s="162"/>
      <c r="C196" s="23" t="s">
        <v>321</v>
      </c>
      <c r="D196" s="8" t="s">
        <v>322</v>
      </c>
      <c r="E196" s="8" t="s">
        <v>23</v>
      </c>
      <c r="F196" s="29">
        <f t="shared" si="11"/>
        <v>163.52000000000001</v>
      </c>
      <c r="G196" s="29">
        <v>0</v>
      </c>
      <c r="H196" s="29">
        <v>163.52000000000001</v>
      </c>
      <c r="I196" s="29">
        <v>0</v>
      </c>
      <c r="J196" s="29">
        <v>0</v>
      </c>
      <c r="K196" s="28" t="s">
        <v>54</v>
      </c>
    </row>
    <row r="197" spans="1:11" s="30" customFormat="1" ht="30" x14ac:dyDescent="0.25">
      <c r="A197" s="2">
        <v>18</v>
      </c>
      <c r="B197" s="162"/>
      <c r="C197" s="23" t="s">
        <v>323</v>
      </c>
      <c r="D197" s="8" t="s">
        <v>324</v>
      </c>
      <c r="E197" s="8" t="s">
        <v>23</v>
      </c>
      <c r="F197" s="29">
        <f t="shared" si="11"/>
        <v>100.75</v>
      </c>
      <c r="G197" s="29">
        <v>0</v>
      </c>
      <c r="H197" s="29">
        <v>100.75</v>
      </c>
      <c r="I197" s="29">
        <v>0</v>
      </c>
      <c r="J197" s="29">
        <v>0</v>
      </c>
      <c r="K197" s="28" t="s">
        <v>54</v>
      </c>
    </row>
    <row r="198" spans="1:11" s="30" customFormat="1" ht="30" x14ac:dyDescent="0.25">
      <c r="A198" s="2">
        <v>19</v>
      </c>
      <c r="B198" s="163"/>
      <c r="C198" s="23" t="s">
        <v>325</v>
      </c>
      <c r="D198" s="8" t="s">
        <v>326</v>
      </c>
      <c r="E198" s="8" t="s">
        <v>23</v>
      </c>
      <c r="F198" s="29">
        <f t="shared" si="11"/>
        <v>60</v>
      </c>
      <c r="G198" s="29">
        <v>0</v>
      </c>
      <c r="H198" s="29">
        <v>60</v>
      </c>
      <c r="I198" s="29">
        <v>0</v>
      </c>
      <c r="J198" s="29">
        <v>0</v>
      </c>
      <c r="K198" s="28" t="s">
        <v>37</v>
      </c>
    </row>
    <row r="199" spans="1:11" s="34" customFormat="1" ht="26.45" customHeight="1" x14ac:dyDescent="0.25">
      <c r="A199" s="188" t="s">
        <v>1205</v>
      </c>
      <c r="B199" s="189"/>
      <c r="C199" s="190"/>
      <c r="D199" s="37"/>
      <c r="E199" s="37"/>
      <c r="F199" s="32">
        <f>SUM(F180:F198)</f>
        <v>10767.460000000001</v>
      </c>
      <c r="G199" s="33">
        <f>SUM(G180:G198)</f>
        <v>0</v>
      </c>
      <c r="H199" s="33">
        <f>SUM(H180:H198)</f>
        <v>5639.57</v>
      </c>
      <c r="I199" s="33">
        <f>SUM(I180:I198)</f>
        <v>5127.8900000000003</v>
      </c>
      <c r="J199" s="33">
        <f>SUM(J180:J198)</f>
        <v>0</v>
      </c>
      <c r="K199" s="52"/>
    </row>
    <row r="200" spans="1:11" s="30" customFormat="1" ht="30" x14ac:dyDescent="0.25">
      <c r="A200" s="2">
        <v>1</v>
      </c>
      <c r="B200" s="161" t="s">
        <v>292</v>
      </c>
      <c r="C200" s="23" t="s">
        <v>327</v>
      </c>
      <c r="D200" s="46" t="s">
        <v>313</v>
      </c>
      <c r="E200" s="8" t="s">
        <v>23</v>
      </c>
      <c r="F200" s="29">
        <f t="shared" si="11"/>
        <v>18</v>
      </c>
      <c r="G200" s="36">
        <v>0</v>
      </c>
      <c r="H200" s="29">
        <v>0</v>
      </c>
      <c r="I200" s="29">
        <v>18</v>
      </c>
      <c r="J200" s="29">
        <v>0</v>
      </c>
      <c r="K200" s="28" t="s">
        <v>281</v>
      </c>
    </row>
    <row r="201" spans="1:11" s="30" customFormat="1" ht="30" x14ac:dyDescent="0.25">
      <c r="A201" s="2">
        <v>2</v>
      </c>
      <c r="B201" s="162"/>
      <c r="C201" s="23" t="s">
        <v>328</v>
      </c>
      <c r="D201" s="46" t="s">
        <v>283</v>
      </c>
      <c r="E201" s="8" t="s">
        <v>23</v>
      </c>
      <c r="F201" s="29">
        <f t="shared" si="11"/>
        <v>29.75</v>
      </c>
      <c r="G201" s="36">
        <v>0</v>
      </c>
      <c r="H201" s="29">
        <v>0</v>
      </c>
      <c r="I201" s="29">
        <v>29.75</v>
      </c>
      <c r="J201" s="29">
        <v>0</v>
      </c>
      <c r="K201" s="28" t="s">
        <v>281</v>
      </c>
    </row>
    <row r="202" spans="1:11" s="30" customFormat="1" ht="30" x14ac:dyDescent="0.25">
      <c r="A202" s="2">
        <v>3</v>
      </c>
      <c r="B202" s="162"/>
      <c r="C202" s="23" t="s">
        <v>329</v>
      </c>
      <c r="D202" s="2" t="s">
        <v>316</v>
      </c>
      <c r="E202" s="8" t="s">
        <v>23</v>
      </c>
      <c r="F202" s="29">
        <f t="shared" si="11"/>
        <v>35</v>
      </c>
      <c r="G202" s="36">
        <v>0</v>
      </c>
      <c r="H202" s="29">
        <v>0</v>
      </c>
      <c r="I202" s="29">
        <v>35</v>
      </c>
      <c r="J202" s="29">
        <v>0</v>
      </c>
      <c r="K202" s="28" t="s">
        <v>281</v>
      </c>
    </row>
    <row r="203" spans="1:11" s="30" customFormat="1" ht="30" x14ac:dyDescent="0.25">
      <c r="A203" s="2">
        <v>4</v>
      </c>
      <c r="B203" s="162"/>
      <c r="C203" s="23" t="s">
        <v>330</v>
      </c>
      <c r="D203" s="46" t="s">
        <v>318</v>
      </c>
      <c r="E203" s="8" t="s">
        <v>23</v>
      </c>
      <c r="F203" s="29">
        <f t="shared" si="11"/>
        <v>350</v>
      </c>
      <c r="G203" s="36">
        <v>0</v>
      </c>
      <c r="H203" s="29">
        <v>0</v>
      </c>
      <c r="I203" s="29">
        <v>350</v>
      </c>
      <c r="J203" s="29">
        <v>0</v>
      </c>
      <c r="K203" s="28" t="s">
        <v>281</v>
      </c>
    </row>
    <row r="204" spans="1:11" s="30" customFormat="1" ht="30" x14ac:dyDescent="0.25">
      <c r="A204" s="2">
        <v>5</v>
      </c>
      <c r="B204" s="162"/>
      <c r="C204" s="23" t="s">
        <v>331</v>
      </c>
      <c r="D204" s="46" t="s">
        <v>320</v>
      </c>
      <c r="E204" s="8" t="s">
        <v>23</v>
      </c>
      <c r="F204" s="29">
        <f t="shared" si="11"/>
        <v>135</v>
      </c>
      <c r="G204" s="36">
        <v>0</v>
      </c>
      <c r="H204" s="29">
        <v>0</v>
      </c>
      <c r="I204" s="29">
        <v>135</v>
      </c>
      <c r="J204" s="29">
        <v>0</v>
      </c>
      <c r="K204" s="28" t="s">
        <v>281</v>
      </c>
    </row>
    <row r="205" spans="1:11" s="30" customFormat="1" ht="30" x14ac:dyDescent="0.25">
      <c r="A205" s="2">
        <v>6</v>
      </c>
      <c r="B205" s="162"/>
      <c r="C205" s="23" t="s">
        <v>332</v>
      </c>
      <c r="D205" s="2" t="s">
        <v>322</v>
      </c>
      <c r="E205" s="8" t="s">
        <v>23</v>
      </c>
      <c r="F205" s="29">
        <f t="shared" ref="F205:F225" si="16">G205+H205+I205+J205</f>
        <v>163.52000000000001</v>
      </c>
      <c r="G205" s="36">
        <v>0</v>
      </c>
      <c r="H205" s="29">
        <v>0</v>
      </c>
      <c r="I205" s="29">
        <v>163.52000000000001</v>
      </c>
      <c r="J205" s="29">
        <v>0</v>
      </c>
      <c r="K205" s="28" t="s">
        <v>281</v>
      </c>
    </row>
    <row r="206" spans="1:11" s="30" customFormat="1" ht="30" x14ac:dyDescent="0.25">
      <c r="A206" s="2">
        <v>7</v>
      </c>
      <c r="B206" s="162"/>
      <c r="C206" s="23" t="s">
        <v>333</v>
      </c>
      <c r="D206" s="2" t="s">
        <v>324</v>
      </c>
      <c r="E206" s="8" t="s">
        <v>23</v>
      </c>
      <c r="F206" s="29">
        <f t="shared" si="16"/>
        <v>100.75</v>
      </c>
      <c r="G206" s="36">
        <v>0</v>
      </c>
      <c r="H206" s="29">
        <v>0</v>
      </c>
      <c r="I206" s="29">
        <v>100.75</v>
      </c>
      <c r="J206" s="29">
        <v>0</v>
      </c>
      <c r="K206" s="28" t="s">
        <v>281</v>
      </c>
    </row>
    <row r="207" spans="1:11" s="30" customFormat="1" ht="30" x14ac:dyDescent="0.25">
      <c r="A207" s="2">
        <v>8</v>
      </c>
      <c r="B207" s="162"/>
      <c r="C207" s="23" t="s">
        <v>334</v>
      </c>
      <c r="D207" s="2" t="s">
        <v>311</v>
      </c>
      <c r="E207" s="8" t="s">
        <v>23</v>
      </c>
      <c r="F207" s="29">
        <f t="shared" si="16"/>
        <v>62.48</v>
      </c>
      <c r="G207" s="36">
        <v>0</v>
      </c>
      <c r="H207" s="29">
        <v>0</v>
      </c>
      <c r="I207" s="29">
        <v>62.48</v>
      </c>
      <c r="J207" s="29">
        <v>0</v>
      </c>
      <c r="K207" s="28" t="s">
        <v>281</v>
      </c>
    </row>
    <row r="208" spans="1:11" s="30" customFormat="1" ht="30" x14ac:dyDescent="0.25">
      <c r="A208" s="2">
        <v>9</v>
      </c>
      <c r="B208" s="163"/>
      <c r="C208" s="23" t="s">
        <v>335</v>
      </c>
      <c r="D208" s="2" t="s">
        <v>326</v>
      </c>
      <c r="E208" s="8" t="s">
        <v>23</v>
      </c>
      <c r="F208" s="29">
        <f t="shared" si="16"/>
        <v>60</v>
      </c>
      <c r="G208" s="36">
        <v>0</v>
      </c>
      <c r="H208" s="29">
        <v>0</v>
      </c>
      <c r="I208" s="29">
        <v>60</v>
      </c>
      <c r="J208" s="29">
        <v>0</v>
      </c>
      <c r="K208" s="28" t="s">
        <v>281</v>
      </c>
    </row>
    <row r="209" spans="1:11" s="34" customFormat="1" ht="30" customHeight="1" x14ac:dyDescent="0.25">
      <c r="A209" s="172" t="s">
        <v>1206</v>
      </c>
      <c r="B209" s="172"/>
      <c r="C209" s="172"/>
      <c r="D209" s="20"/>
      <c r="E209" s="20"/>
      <c r="F209" s="32">
        <f>SUM(F200:F208)</f>
        <v>954.5</v>
      </c>
      <c r="G209" s="33">
        <f t="shared" ref="G209:J209" si="17">SUM(G200:G208)</f>
        <v>0</v>
      </c>
      <c r="H209" s="33">
        <f t="shared" si="17"/>
        <v>0</v>
      </c>
      <c r="I209" s="33">
        <f t="shared" si="17"/>
        <v>954.5</v>
      </c>
      <c r="J209" s="33">
        <f t="shared" si="17"/>
        <v>0</v>
      </c>
      <c r="K209" s="31"/>
    </row>
    <row r="210" spans="1:11" s="30" customFormat="1" ht="30" x14ac:dyDescent="0.25">
      <c r="A210" s="2">
        <v>1</v>
      </c>
      <c r="B210" s="161" t="s">
        <v>336</v>
      </c>
      <c r="C210" s="28" t="s">
        <v>337</v>
      </c>
      <c r="D210" s="46" t="s">
        <v>132</v>
      </c>
      <c r="E210" s="8" t="s">
        <v>23</v>
      </c>
      <c r="F210" s="29">
        <f t="shared" si="16"/>
        <v>6276.21</v>
      </c>
      <c r="G210" s="36">
        <v>0</v>
      </c>
      <c r="H210" s="36">
        <v>6276.21</v>
      </c>
      <c r="I210" s="29">
        <v>0</v>
      </c>
      <c r="J210" s="29">
        <v>0</v>
      </c>
      <c r="K210" s="28" t="s">
        <v>65</v>
      </c>
    </row>
    <row r="211" spans="1:11" s="30" customFormat="1" ht="30" x14ac:dyDescent="0.25">
      <c r="A211" s="2">
        <v>2</v>
      </c>
      <c r="B211" s="162"/>
      <c r="C211" s="28" t="s">
        <v>338</v>
      </c>
      <c r="D211" s="46" t="s">
        <v>339</v>
      </c>
      <c r="E211" s="8" t="s">
        <v>23</v>
      </c>
      <c r="F211" s="29">
        <f t="shared" si="16"/>
        <v>3316.03</v>
      </c>
      <c r="G211" s="36">
        <v>0</v>
      </c>
      <c r="H211" s="36">
        <v>3316.03</v>
      </c>
      <c r="I211" s="29">
        <v>0</v>
      </c>
      <c r="J211" s="29">
        <v>0</v>
      </c>
      <c r="K211" s="28" t="s">
        <v>65</v>
      </c>
    </row>
    <row r="212" spans="1:11" s="30" customFormat="1" ht="30" x14ac:dyDescent="0.25">
      <c r="A212" s="2">
        <v>3</v>
      </c>
      <c r="B212" s="162"/>
      <c r="C212" s="28" t="s">
        <v>340</v>
      </c>
      <c r="D212" s="46" t="s">
        <v>341</v>
      </c>
      <c r="E212" s="8" t="s">
        <v>23</v>
      </c>
      <c r="F212" s="29">
        <f t="shared" si="16"/>
        <v>974.07</v>
      </c>
      <c r="G212" s="36">
        <v>0</v>
      </c>
      <c r="H212" s="36">
        <v>974.07</v>
      </c>
      <c r="I212" s="29">
        <v>0</v>
      </c>
      <c r="J212" s="29">
        <v>0</v>
      </c>
      <c r="K212" s="28" t="s">
        <v>65</v>
      </c>
    </row>
    <row r="213" spans="1:11" s="30" customFormat="1" ht="30" x14ac:dyDescent="0.25">
      <c r="A213" s="2">
        <v>4</v>
      </c>
      <c r="B213" s="162"/>
      <c r="C213" s="28" t="s">
        <v>342</v>
      </c>
      <c r="D213" s="46" t="s">
        <v>343</v>
      </c>
      <c r="E213" s="8" t="s">
        <v>23</v>
      </c>
      <c r="F213" s="29">
        <f t="shared" si="16"/>
        <v>690.56</v>
      </c>
      <c r="G213" s="36">
        <v>0</v>
      </c>
      <c r="H213" s="36">
        <v>690.56</v>
      </c>
      <c r="I213" s="29">
        <v>0</v>
      </c>
      <c r="J213" s="29">
        <v>0</v>
      </c>
      <c r="K213" s="28" t="s">
        <v>65</v>
      </c>
    </row>
    <row r="214" spans="1:11" s="30" customFormat="1" ht="30" x14ac:dyDescent="0.25">
      <c r="A214" s="2">
        <v>5</v>
      </c>
      <c r="B214" s="162"/>
      <c r="C214" s="28" t="s">
        <v>344</v>
      </c>
      <c r="D214" s="46" t="s">
        <v>345</v>
      </c>
      <c r="E214" s="8" t="s">
        <v>23</v>
      </c>
      <c r="F214" s="29">
        <f t="shared" si="16"/>
        <v>282.33999999999997</v>
      </c>
      <c r="G214" s="36">
        <v>0</v>
      </c>
      <c r="H214" s="36">
        <v>282.33999999999997</v>
      </c>
      <c r="I214" s="29">
        <v>0</v>
      </c>
      <c r="J214" s="29">
        <v>0</v>
      </c>
      <c r="K214" s="28" t="s">
        <v>65</v>
      </c>
    </row>
    <row r="215" spans="1:11" s="30" customFormat="1" ht="30" x14ac:dyDescent="0.25">
      <c r="A215" s="2">
        <v>6</v>
      </c>
      <c r="B215" s="162"/>
      <c r="C215" s="28" t="s">
        <v>346</v>
      </c>
      <c r="D215" s="46" t="s">
        <v>266</v>
      </c>
      <c r="E215" s="8" t="s">
        <v>23</v>
      </c>
      <c r="F215" s="29">
        <f t="shared" si="16"/>
        <v>188.53</v>
      </c>
      <c r="G215" s="36">
        <v>0</v>
      </c>
      <c r="H215" s="36">
        <v>188.53</v>
      </c>
      <c r="I215" s="29">
        <v>0</v>
      </c>
      <c r="J215" s="29">
        <v>0</v>
      </c>
      <c r="K215" s="28" t="s">
        <v>65</v>
      </c>
    </row>
    <row r="216" spans="1:11" s="30" customFormat="1" ht="30" x14ac:dyDescent="0.25">
      <c r="A216" s="2">
        <v>7</v>
      </c>
      <c r="B216" s="163"/>
      <c r="C216" s="28" t="s">
        <v>347</v>
      </c>
      <c r="D216" s="2" t="s">
        <v>348</v>
      </c>
      <c r="E216" s="8" t="s">
        <v>23</v>
      </c>
      <c r="F216" s="29">
        <f t="shared" si="16"/>
        <v>153.22999999999999</v>
      </c>
      <c r="G216" s="36">
        <v>0</v>
      </c>
      <c r="H216" s="29">
        <v>153.22999999999999</v>
      </c>
      <c r="I216" s="29">
        <v>0</v>
      </c>
      <c r="J216" s="29">
        <v>0</v>
      </c>
      <c r="K216" s="28" t="s">
        <v>65</v>
      </c>
    </row>
    <row r="217" spans="1:11" s="34" customFormat="1" ht="28.15" customHeight="1" x14ac:dyDescent="0.25">
      <c r="A217" s="172" t="s">
        <v>1207</v>
      </c>
      <c r="B217" s="172"/>
      <c r="C217" s="172"/>
      <c r="D217" s="20"/>
      <c r="E217" s="20"/>
      <c r="F217" s="32">
        <f>SUM(F210:F216)</f>
        <v>11880.97</v>
      </c>
      <c r="G217" s="33">
        <f t="shared" ref="G217:J217" si="18">SUM(G210:G216)</f>
        <v>0</v>
      </c>
      <c r="H217" s="33">
        <f>SUM(H210:H216)</f>
        <v>11880.97</v>
      </c>
      <c r="I217" s="33">
        <f t="shared" si="18"/>
        <v>0</v>
      </c>
      <c r="J217" s="33">
        <f t="shared" si="18"/>
        <v>0</v>
      </c>
      <c r="K217" s="31"/>
    </row>
    <row r="218" spans="1:11" s="30" customFormat="1" ht="30" x14ac:dyDescent="0.25">
      <c r="A218" s="2">
        <v>1</v>
      </c>
      <c r="B218" s="161" t="s">
        <v>336</v>
      </c>
      <c r="C218" s="28" t="s">
        <v>349</v>
      </c>
      <c r="D218" s="2" t="s">
        <v>132</v>
      </c>
      <c r="E218" s="8" t="s">
        <v>23</v>
      </c>
      <c r="F218" s="29">
        <f t="shared" si="16"/>
        <v>7413.99</v>
      </c>
      <c r="G218" s="36">
        <v>0</v>
      </c>
      <c r="H218" s="29">
        <v>0</v>
      </c>
      <c r="I218" s="36">
        <v>7413.99</v>
      </c>
      <c r="J218" s="29">
        <v>0</v>
      </c>
      <c r="K218" s="28" t="s">
        <v>109</v>
      </c>
    </row>
    <row r="219" spans="1:11" s="30" customFormat="1" ht="30" x14ac:dyDescent="0.25">
      <c r="A219" s="2">
        <v>2</v>
      </c>
      <c r="B219" s="162"/>
      <c r="C219" s="28" t="s">
        <v>350</v>
      </c>
      <c r="D219" s="2" t="s">
        <v>341</v>
      </c>
      <c r="E219" s="8" t="s">
        <v>23</v>
      </c>
      <c r="F219" s="29">
        <f t="shared" si="16"/>
        <v>974.07</v>
      </c>
      <c r="G219" s="36">
        <v>0</v>
      </c>
      <c r="H219" s="29">
        <v>0</v>
      </c>
      <c r="I219" s="36">
        <v>974.07</v>
      </c>
      <c r="J219" s="29">
        <v>0</v>
      </c>
      <c r="K219" s="28" t="s">
        <v>109</v>
      </c>
    </row>
    <row r="220" spans="1:11" s="30" customFormat="1" ht="30" x14ac:dyDescent="0.25">
      <c r="A220" s="2">
        <v>3</v>
      </c>
      <c r="B220" s="162"/>
      <c r="C220" s="28" t="s">
        <v>351</v>
      </c>
      <c r="D220" s="2" t="s">
        <v>343</v>
      </c>
      <c r="E220" s="8" t="s">
        <v>23</v>
      </c>
      <c r="F220" s="29">
        <f t="shared" si="16"/>
        <v>690.56</v>
      </c>
      <c r="G220" s="36">
        <v>0</v>
      </c>
      <c r="H220" s="29">
        <v>0</v>
      </c>
      <c r="I220" s="29">
        <v>690.56</v>
      </c>
      <c r="J220" s="29">
        <v>0</v>
      </c>
      <c r="K220" s="28" t="s">
        <v>109</v>
      </c>
    </row>
    <row r="221" spans="1:11" s="30" customFormat="1" ht="30" x14ac:dyDescent="0.25">
      <c r="A221" s="2">
        <v>4</v>
      </c>
      <c r="B221" s="162"/>
      <c r="C221" s="28" t="s">
        <v>352</v>
      </c>
      <c r="D221" s="2" t="s">
        <v>345</v>
      </c>
      <c r="E221" s="8" t="s">
        <v>23</v>
      </c>
      <c r="F221" s="29">
        <f t="shared" si="16"/>
        <v>236.55</v>
      </c>
      <c r="G221" s="36">
        <v>0</v>
      </c>
      <c r="H221" s="29">
        <v>0</v>
      </c>
      <c r="I221" s="29">
        <v>236.55</v>
      </c>
      <c r="J221" s="29">
        <v>0</v>
      </c>
      <c r="K221" s="28" t="s">
        <v>109</v>
      </c>
    </row>
    <row r="222" spans="1:11" s="30" customFormat="1" ht="30" x14ac:dyDescent="0.25">
      <c r="A222" s="2">
        <v>5</v>
      </c>
      <c r="B222" s="162"/>
      <c r="C222" s="28" t="s">
        <v>353</v>
      </c>
      <c r="D222" s="2" t="s">
        <v>266</v>
      </c>
      <c r="E222" s="8" t="s">
        <v>23</v>
      </c>
      <c r="F222" s="29">
        <f t="shared" si="16"/>
        <v>188.53</v>
      </c>
      <c r="G222" s="36">
        <v>0</v>
      </c>
      <c r="H222" s="29">
        <v>0</v>
      </c>
      <c r="I222" s="29">
        <v>188.53</v>
      </c>
      <c r="J222" s="29">
        <v>0</v>
      </c>
      <c r="K222" s="28" t="s">
        <v>109</v>
      </c>
    </row>
    <row r="223" spans="1:11" s="30" customFormat="1" ht="30" x14ac:dyDescent="0.25">
      <c r="A223" s="2">
        <v>6</v>
      </c>
      <c r="B223" s="162"/>
      <c r="C223" s="28" t="s">
        <v>354</v>
      </c>
      <c r="D223" s="2" t="s">
        <v>348</v>
      </c>
      <c r="E223" s="8" t="s">
        <v>23</v>
      </c>
      <c r="F223" s="29">
        <f t="shared" si="16"/>
        <v>153.22999999999999</v>
      </c>
      <c r="G223" s="36">
        <v>0</v>
      </c>
      <c r="H223" s="29">
        <v>0</v>
      </c>
      <c r="I223" s="29">
        <v>153.22999999999999</v>
      </c>
      <c r="J223" s="29">
        <v>0</v>
      </c>
      <c r="K223" s="28" t="s">
        <v>109</v>
      </c>
    </row>
    <row r="224" spans="1:11" s="30" customFormat="1" ht="30" x14ac:dyDescent="0.25">
      <c r="A224" s="2">
        <v>7</v>
      </c>
      <c r="B224" s="162"/>
      <c r="C224" s="28" t="s">
        <v>355</v>
      </c>
      <c r="D224" s="2" t="s">
        <v>356</v>
      </c>
      <c r="E224" s="8" t="s">
        <v>23</v>
      </c>
      <c r="F224" s="29">
        <f t="shared" si="16"/>
        <v>19.89</v>
      </c>
      <c r="G224" s="36">
        <v>0</v>
      </c>
      <c r="H224" s="29">
        <v>0</v>
      </c>
      <c r="I224" s="29">
        <v>19.89</v>
      </c>
      <c r="J224" s="29">
        <v>0</v>
      </c>
      <c r="K224" s="28" t="s">
        <v>109</v>
      </c>
    </row>
    <row r="225" spans="1:11" s="30" customFormat="1" ht="30" x14ac:dyDescent="0.25">
      <c r="A225" s="2">
        <v>8</v>
      </c>
      <c r="B225" s="163"/>
      <c r="C225" s="28" t="s">
        <v>357</v>
      </c>
      <c r="D225" s="2" t="s">
        <v>339</v>
      </c>
      <c r="E225" s="8" t="s">
        <v>23</v>
      </c>
      <c r="F225" s="29">
        <f t="shared" si="16"/>
        <v>3316.03</v>
      </c>
      <c r="G225" s="36">
        <v>0</v>
      </c>
      <c r="H225" s="29">
        <v>0</v>
      </c>
      <c r="I225" s="29">
        <v>3316.03</v>
      </c>
      <c r="J225" s="29">
        <v>0</v>
      </c>
      <c r="K225" s="28" t="s">
        <v>109</v>
      </c>
    </row>
    <row r="226" spans="1:11" s="34" customFormat="1" ht="27" customHeight="1" x14ac:dyDescent="0.25">
      <c r="A226" s="172" t="s">
        <v>1208</v>
      </c>
      <c r="B226" s="172"/>
      <c r="C226" s="172"/>
      <c r="D226" s="20"/>
      <c r="E226" s="20"/>
      <c r="F226" s="32">
        <f>SUM(F218:F225)</f>
        <v>12992.849999999999</v>
      </c>
      <c r="G226" s="33">
        <f t="shared" ref="G226:J226" si="19">SUM(G218:G225)</f>
        <v>0</v>
      </c>
      <c r="H226" s="33">
        <f t="shared" si="19"/>
        <v>0</v>
      </c>
      <c r="I226" s="33">
        <f t="shared" si="19"/>
        <v>12992.849999999999</v>
      </c>
      <c r="J226" s="33">
        <f t="shared" si="19"/>
        <v>0</v>
      </c>
      <c r="K226" s="31"/>
    </row>
    <row r="227" spans="1:11" s="30" customFormat="1" ht="30" x14ac:dyDescent="0.25">
      <c r="A227" s="2">
        <v>1</v>
      </c>
      <c r="B227" s="198" t="s">
        <v>358</v>
      </c>
      <c r="C227" s="41" t="s">
        <v>359</v>
      </c>
      <c r="D227" s="141" t="s">
        <v>360</v>
      </c>
      <c r="E227" s="8" t="s">
        <v>23</v>
      </c>
      <c r="F227" s="42">
        <f>SUM(G227:J227)</f>
        <v>336.17</v>
      </c>
      <c r="G227" s="42">
        <v>0</v>
      </c>
      <c r="H227" s="29">
        <v>336.17</v>
      </c>
      <c r="I227" s="29">
        <v>0</v>
      </c>
      <c r="J227" s="29">
        <v>0</v>
      </c>
      <c r="K227" s="53">
        <v>46235</v>
      </c>
    </row>
    <row r="228" spans="1:11" s="30" customFormat="1" ht="30" x14ac:dyDescent="0.25">
      <c r="A228" s="2">
        <v>2</v>
      </c>
      <c r="B228" s="199"/>
      <c r="C228" s="41" t="s">
        <v>361</v>
      </c>
      <c r="D228" s="141" t="s">
        <v>362</v>
      </c>
      <c r="E228" s="8" t="s">
        <v>23</v>
      </c>
      <c r="F228" s="42">
        <f>SUM(G228:J228)</f>
        <v>1638.2985200000001</v>
      </c>
      <c r="G228" s="42">
        <v>0</v>
      </c>
      <c r="H228" s="29">
        <v>1638.2985200000001</v>
      </c>
      <c r="I228" s="29">
        <v>0</v>
      </c>
      <c r="J228" s="29">
        <v>0</v>
      </c>
      <c r="K228" s="53">
        <v>46204</v>
      </c>
    </row>
    <row r="229" spans="1:11" s="30" customFormat="1" ht="30" x14ac:dyDescent="0.25">
      <c r="A229" s="2">
        <v>3</v>
      </c>
      <c r="B229" s="199"/>
      <c r="C229" s="41" t="s">
        <v>363</v>
      </c>
      <c r="D229" s="141" t="s">
        <v>364</v>
      </c>
      <c r="E229" s="8" t="s">
        <v>23</v>
      </c>
      <c r="F229" s="42">
        <f t="shared" ref="F229:F230" si="20">SUM(G229:J229)</f>
        <v>648.68650000000002</v>
      </c>
      <c r="G229" s="42">
        <v>0</v>
      </c>
      <c r="H229" s="29">
        <v>648.68650000000002</v>
      </c>
      <c r="I229" s="29">
        <v>0</v>
      </c>
      <c r="J229" s="29">
        <v>0</v>
      </c>
      <c r="K229" s="53">
        <v>46296</v>
      </c>
    </row>
    <row r="230" spans="1:11" s="30" customFormat="1" ht="30" x14ac:dyDescent="0.25">
      <c r="A230" s="2">
        <v>4</v>
      </c>
      <c r="B230" s="200"/>
      <c r="C230" s="41" t="s">
        <v>365</v>
      </c>
      <c r="D230" s="141" t="s">
        <v>348</v>
      </c>
      <c r="E230" s="8" t="s">
        <v>23</v>
      </c>
      <c r="F230" s="42">
        <f t="shared" si="20"/>
        <v>75.349999999999994</v>
      </c>
      <c r="G230" s="42">
        <v>0</v>
      </c>
      <c r="H230" s="29">
        <v>75.349999999999994</v>
      </c>
      <c r="I230" s="29">
        <v>0</v>
      </c>
      <c r="J230" s="29">
        <v>0</v>
      </c>
      <c r="K230" s="53">
        <v>46296</v>
      </c>
    </row>
    <row r="231" spans="1:11" s="34" customFormat="1" ht="30.6" customHeight="1" x14ac:dyDescent="0.25">
      <c r="A231" s="188" t="s">
        <v>1209</v>
      </c>
      <c r="B231" s="189"/>
      <c r="C231" s="190"/>
      <c r="D231" s="37"/>
      <c r="E231" s="37"/>
      <c r="F231" s="54">
        <f>SUM(F227:F230)</f>
        <v>2698.5050200000001</v>
      </c>
      <c r="G231" s="54">
        <f t="shared" ref="G231:J231" si="21">SUM(G227:G230)</f>
        <v>0</v>
      </c>
      <c r="H231" s="54">
        <f t="shared" si="21"/>
        <v>2698.5050200000001</v>
      </c>
      <c r="I231" s="54">
        <f t="shared" si="21"/>
        <v>0</v>
      </c>
      <c r="J231" s="54">
        <f t="shared" si="21"/>
        <v>0</v>
      </c>
      <c r="K231" s="55"/>
    </row>
    <row r="232" spans="1:11" s="30" customFormat="1" ht="30" x14ac:dyDescent="0.25">
      <c r="A232" s="2">
        <v>1</v>
      </c>
      <c r="B232" s="198" t="s">
        <v>358</v>
      </c>
      <c r="C232" s="41" t="s">
        <v>366</v>
      </c>
      <c r="D232" s="158" t="s">
        <v>367</v>
      </c>
      <c r="E232" s="56" t="s">
        <v>23</v>
      </c>
      <c r="F232" s="42">
        <f>SUM(G232:J232)</f>
        <v>191</v>
      </c>
      <c r="G232" s="29">
        <v>0</v>
      </c>
      <c r="H232" s="36">
        <v>191</v>
      </c>
      <c r="I232" s="29">
        <v>0</v>
      </c>
      <c r="J232" s="29">
        <v>0</v>
      </c>
      <c r="K232" s="53">
        <v>46388</v>
      </c>
    </row>
    <row r="233" spans="1:11" s="30" customFormat="1" ht="30" x14ac:dyDescent="0.25">
      <c r="A233" s="2">
        <v>2</v>
      </c>
      <c r="B233" s="199"/>
      <c r="C233" s="41" t="s">
        <v>368</v>
      </c>
      <c r="D233" s="141" t="s">
        <v>369</v>
      </c>
      <c r="E233" s="8" t="s">
        <v>23</v>
      </c>
      <c r="F233" s="42">
        <f t="shared" ref="F233:F251" si="22">SUM(G233:J233)</f>
        <v>104</v>
      </c>
      <c r="G233" s="29">
        <v>0</v>
      </c>
      <c r="H233" s="36">
        <v>104</v>
      </c>
      <c r="I233" s="29">
        <v>0</v>
      </c>
      <c r="J233" s="29">
        <v>0</v>
      </c>
      <c r="K233" s="53">
        <v>46388</v>
      </c>
    </row>
    <row r="234" spans="1:11" s="30" customFormat="1" ht="45" x14ac:dyDescent="0.25">
      <c r="A234" s="2">
        <v>3</v>
      </c>
      <c r="B234" s="199"/>
      <c r="C234" s="41" t="s">
        <v>370</v>
      </c>
      <c r="D234" s="141" t="s">
        <v>371</v>
      </c>
      <c r="E234" s="8" t="s">
        <v>23</v>
      </c>
      <c r="F234" s="42">
        <f t="shared" si="22"/>
        <v>126</v>
      </c>
      <c r="G234" s="29">
        <v>0</v>
      </c>
      <c r="H234" s="36">
        <v>126</v>
      </c>
      <c r="I234" s="29">
        <v>0</v>
      </c>
      <c r="J234" s="29">
        <v>0</v>
      </c>
      <c r="K234" s="53">
        <v>46419</v>
      </c>
    </row>
    <row r="235" spans="1:11" s="30" customFormat="1" ht="45" x14ac:dyDescent="0.25">
      <c r="A235" s="2">
        <v>4</v>
      </c>
      <c r="B235" s="199"/>
      <c r="C235" s="41" t="s">
        <v>372</v>
      </c>
      <c r="D235" s="141" t="s">
        <v>373</v>
      </c>
      <c r="E235" s="8" t="s">
        <v>23</v>
      </c>
      <c r="F235" s="42">
        <f t="shared" si="22"/>
        <v>2601</v>
      </c>
      <c r="G235" s="29">
        <v>0</v>
      </c>
      <c r="H235" s="36">
        <v>2601</v>
      </c>
      <c r="I235" s="29">
        <v>0</v>
      </c>
      <c r="J235" s="29">
        <v>0</v>
      </c>
      <c r="K235" s="53">
        <v>46388</v>
      </c>
    </row>
    <row r="236" spans="1:11" s="30" customFormat="1" ht="30" x14ac:dyDescent="0.25">
      <c r="A236" s="2">
        <v>5</v>
      </c>
      <c r="B236" s="199"/>
      <c r="C236" s="41" t="s">
        <v>374</v>
      </c>
      <c r="D236" s="141" t="s">
        <v>375</v>
      </c>
      <c r="E236" s="8" t="s">
        <v>23</v>
      </c>
      <c r="F236" s="42">
        <f t="shared" si="22"/>
        <v>47.7</v>
      </c>
      <c r="G236" s="29">
        <v>0</v>
      </c>
      <c r="H236" s="36">
        <v>47.7</v>
      </c>
      <c r="I236" s="29">
        <v>0</v>
      </c>
      <c r="J236" s="29">
        <v>0</v>
      </c>
      <c r="K236" s="53">
        <v>46447</v>
      </c>
    </row>
    <row r="237" spans="1:11" s="30" customFormat="1" ht="45" x14ac:dyDescent="0.25">
      <c r="A237" s="2">
        <v>6</v>
      </c>
      <c r="B237" s="199"/>
      <c r="C237" s="41" t="s">
        <v>376</v>
      </c>
      <c r="D237" s="141" t="s">
        <v>377</v>
      </c>
      <c r="E237" s="8" t="s">
        <v>23</v>
      </c>
      <c r="F237" s="42">
        <f t="shared" si="22"/>
        <v>85.6</v>
      </c>
      <c r="G237" s="29">
        <v>0</v>
      </c>
      <c r="H237" s="36">
        <v>85.6</v>
      </c>
      <c r="I237" s="29">
        <v>0</v>
      </c>
      <c r="J237" s="29">
        <v>0</v>
      </c>
      <c r="K237" s="53">
        <v>46447</v>
      </c>
    </row>
    <row r="238" spans="1:11" s="30" customFormat="1" ht="30" x14ac:dyDescent="0.25">
      <c r="A238" s="2">
        <v>7</v>
      </c>
      <c r="B238" s="199"/>
      <c r="C238" s="41" t="s">
        <v>378</v>
      </c>
      <c r="D238" s="141" t="s">
        <v>379</v>
      </c>
      <c r="E238" s="8" t="s">
        <v>23</v>
      </c>
      <c r="F238" s="42">
        <f t="shared" si="22"/>
        <v>159</v>
      </c>
      <c r="G238" s="29">
        <v>0</v>
      </c>
      <c r="H238" s="36">
        <v>159</v>
      </c>
      <c r="I238" s="29">
        <v>0</v>
      </c>
      <c r="J238" s="29">
        <v>0</v>
      </c>
      <c r="K238" s="53">
        <v>46447</v>
      </c>
    </row>
    <row r="239" spans="1:11" s="30" customFormat="1" ht="30" x14ac:dyDescent="0.25">
      <c r="A239" s="2">
        <v>8</v>
      </c>
      <c r="B239" s="199"/>
      <c r="C239" s="41" t="s">
        <v>380</v>
      </c>
      <c r="D239" s="141" t="s">
        <v>381</v>
      </c>
      <c r="E239" s="8" t="s">
        <v>23</v>
      </c>
      <c r="F239" s="42">
        <f t="shared" si="22"/>
        <v>263</v>
      </c>
      <c r="G239" s="29">
        <v>0</v>
      </c>
      <c r="H239" s="36">
        <v>263</v>
      </c>
      <c r="I239" s="29">
        <v>0</v>
      </c>
      <c r="J239" s="29">
        <v>0</v>
      </c>
      <c r="K239" s="53">
        <v>46388</v>
      </c>
    </row>
    <row r="240" spans="1:11" s="30" customFormat="1" ht="30" x14ac:dyDescent="0.25">
      <c r="A240" s="2">
        <v>9</v>
      </c>
      <c r="B240" s="199"/>
      <c r="C240" s="41" t="s">
        <v>382</v>
      </c>
      <c r="D240" s="141" t="s">
        <v>383</v>
      </c>
      <c r="E240" s="8" t="s">
        <v>23</v>
      </c>
      <c r="F240" s="42">
        <f t="shared" si="22"/>
        <v>36.4</v>
      </c>
      <c r="G240" s="29">
        <v>0</v>
      </c>
      <c r="H240" s="36">
        <v>36.4</v>
      </c>
      <c r="I240" s="29">
        <v>0</v>
      </c>
      <c r="J240" s="29">
        <v>0</v>
      </c>
      <c r="K240" s="53">
        <v>46419</v>
      </c>
    </row>
    <row r="241" spans="1:11" s="30" customFormat="1" ht="30" x14ac:dyDescent="0.25">
      <c r="A241" s="2">
        <v>10</v>
      </c>
      <c r="B241" s="199"/>
      <c r="C241" s="41" t="s">
        <v>384</v>
      </c>
      <c r="D241" s="141" t="s">
        <v>385</v>
      </c>
      <c r="E241" s="8" t="s">
        <v>23</v>
      </c>
      <c r="F241" s="42">
        <f t="shared" si="22"/>
        <v>63.4</v>
      </c>
      <c r="G241" s="29">
        <v>0</v>
      </c>
      <c r="H241" s="36">
        <v>63.4</v>
      </c>
      <c r="I241" s="29">
        <v>0</v>
      </c>
      <c r="J241" s="29">
        <v>0</v>
      </c>
      <c r="K241" s="53">
        <v>46419</v>
      </c>
    </row>
    <row r="242" spans="1:11" s="30" customFormat="1" ht="30" x14ac:dyDescent="0.25">
      <c r="A242" s="2">
        <v>11</v>
      </c>
      <c r="B242" s="199"/>
      <c r="C242" s="41" t="s">
        <v>386</v>
      </c>
      <c r="D242" s="141" t="s">
        <v>387</v>
      </c>
      <c r="E242" s="8" t="s">
        <v>23</v>
      </c>
      <c r="F242" s="42">
        <f t="shared" si="22"/>
        <v>71.900000000000006</v>
      </c>
      <c r="G242" s="29">
        <v>0</v>
      </c>
      <c r="H242" s="36">
        <v>71.900000000000006</v>
      </c>
      <c r="I242" s="29">
        <v>0</v>
      </c>
      <c r="J242" s="29">
        <v>0</v>
      </c>
      <c r="K242" s="53">
        <v>46419</v>
      </c>
    </row>
    <row r="243" spans="1:11" s="30" customFormat="1" ht="30" x14ac:dyDescent="0.25">
      <c r="A243" s="2">
        <v>12</v>
      </c>
      <c r="B243" s="199"/>
      <c r="C243" s="41" t="s">
        <v>388</v>
      </c>
      <c r="D243" s="141" t="s">
        <v>389</v>
      </c>
      <c r="E243" s="8" t="s">
        <v>23</v>
      </c>
      <c r="F243" s="42">
        <f t="shared" si="22"/>
        <v>368</v>
      </c>
      <c r="G243" s="29">
        <v>0</v>
      </c>
      <c r="H243" s="36">
        <v>368</v>
      </c>
      <c r="I243" s="29">
        <v>0</v>
      </c>
      <c r="J243" s="29">
        <v>0</v>
      </c>
      <c r="K243" s="53">
        <v>46631</v>
      </c>
    </row>
    <row r="244" spans="1:11" s="30" customFormat="1" ht="30" x14ac:dyDescent="0.25">
      <c r="A244" s="2">
        <v>15</v>
      </c>
      <c r="B244" s="199"/>
      <c r="C244" s="41" t="s">
        <v>390</v>
      </c>
      <c r="D244" s="141" t="s">
        <v>391</v>
      </c>
      <c r="E244" s="8" t="s">
        <v>23</v>
      </c>
      <c r="F244" s="42">
        <f t="shared" si="22"/>
        <v>1774</v>
      </c>
      <c r="G244" s="29">
        <v>0</v>
      </c>
      <c r="H244" s="36">
        <v>1774</v>
      </c>
      <c r="I244" s="29">
        <v>0</v>
      </c>
      <c r="J244" s="29">
        <v>0</v>
      </c>
      <c r="K244" s="53">
        <v>46661</v>
      </c>
    </row>
    <row r="245" spans="1:11" s="30" customFormat="1" ht="45" x14ac:dyDescent="0.25">
      <c r="A245" s="2">
        <v>16</v>
      </c>
      <c r="B245" s="199"/>
      <c r="C245" s="41" t="s">
        <v>392</v>
      </c>
      <c r="D245" s="141" t="s">
        <v>393</v>
      </c>
      <c r="E245" s="8" t="s">
        <v>23</v>
      </c>
      <c r="F245" s="42">
        <f t="shared" si="22"/>
        <v>487</v>
      </c>
      <c r="G245" s="29">
        <v>0</v>
      </c>
      <c r="H245" s="36">
        <v>487</v>
      </c>
      <c r="I245" s="29">
        <v>0</v>
      </c>
      <c r="J245" s="29">
        <v>0</v>
      </c>
      <c r="K245" s="53">
        <v>46054</v>
      </c>
    </row>
    <row r="246" spans="1:11" s="30" customFormat="1" ht="30" x14ac:dyDescent="0.25">
      <c r="A246" s="2">
        <v>20</v>
      </c>
      <c r="B246" s="199"/>
      <c r="C246" s="41" t="s">
        <v>394</v>
      </c>
      <c r="D246" s="141" t="s">
        <v>348</v>
      </c>
      <c r="E246" s="8" t="s">
        <v>23</v>
      </c>
      <c r="F246" s="42">
        <f t="shared" si="22"/>
        <v>75.3</v>
      </c>
      <c r="G246" s="29">
        <v>0</v>
      </c>
      <c r="H246" s="36">
        <v>75.3</v>
      </c>
      <c r="I246" s="29">
        <v>0</v>
      </c>
      <c r="J246" s="29">
        <v>0</v>
      </c>
      <c r="K246" s="53">
        <v>46419</v>
      </c>
    </row>
    <row r="247" spans="1:11" s="30" customFormat="1" ht="45" x14ac:dyDescent="0.25">
      <c r="A247" s="2">
        <v>21</v>
      </c>
      <c r="B247" s="199"/>
      <c r="C247" s="41" t="s">
        <v>395</v>
      </c>
      <c r="D247" s="141" t="s">
        <v>396</v>
      </c>
      <c r="E247" s="8" t="s">
        <v>23</v>
      </c>
      <c r="F247" s="42">
        <f t="shared" si="22"/>
        <v>4822</v>
      </c>
      <c r="G247" s="29">
        <v>0</v>
      </c>
      <c r="H247" s="36">
        <v>4822</v>
      </c>
      <c r="I247" s="29">
        <v>0</v>
      </c>
      <c r="J247" s="29">
        <v>0</v>
      </c>
      <c r="K247" s="53">
        <v>46388</v>
      </c>
    </row>
    <row r="248" spans="1:11" s="30" customFormat="1" ht="45" x14ac:dyDescent="0.25">
      <c r="A248" s="2">
        <v>22</v>
      </c>
      <c r="B248" s="199"/>
      <c r="C248" s="41" t="s">
        <v>397</v>
      </c>
      <c r="D248" s="141" t="s">
        <v>377</v>
      </c>
      <c r="E248" s="8" t="s">
        <v>23</v>
      </c>
      <c r="F248" s="42">
        <f t="shared" si="22"/>
        <v>97.7</v>
      </c>
      <c r="G248" s="29">
        <v>0</v>
      </c>
      <c r="H248" s="36">
        <v>97.7</v>
      </c>
      <c r="I248" s="29">
        <v>0</v>
      </c>
      <c r="J248" s="29">
        <v>0</v>
      </c>
      <c r="K248" s="53">
        <v>46447</v>
      </c>
    </row>
    <row r="249" spans="1:11" s="30" customFormat="1" ht="30" x14ac:dyDescent="0.25">
      <c r="A249" s="2">
        <v>23</v>
      </c>
      <c r="B249" s="199"/>
      <c r="C249" s="41" t="s">
        <v>398</v>
      </c>
      <c r="D249" s="141" t="s">
        <v>369</v>
      </c>
      <c r="E249" s="8" t="s">
        <v>23</v>
      </c>
      <c r="F249" s="42">
        <f t="shared" si="22"/>
        <v>104</v>
      </c>
      <c r="G249" s="29">
        <v>0</v>
      </c>
      <c r="H249" s="29">
        <v>0</v>
      </c>
      <c r="I249" s="36">
        <v>104</v>
      </c>
      <c r="J249" s="29">
        <v>0</v>
      </c>
      <c r="K249" s="53">
        <v>46661</v>
      </c>
    </row>
    <row r="250" spans="1:11" s="30" customFormat="1" ht="30" x14ac:dyDescent="0.25">
      <c r="A250" s="2">
        <v>24</v>
      </c>
      <c r="B250" s="199"/>
      <c r="C250" s="41" t="s">
        <v>399</v>
      </c>
      <c r="D250" s="141" t="s">
        <v>400</v>
      </c>
      <c r="E250" s="8" t="s">
        <v>23</v>
      </c>
      <c r="F250" s="42">
        <f t="shared" si="22"/>
        <v>648</v>
      </c>
      <c r="G250" s="29">
        <v>0</v>
      </c>
      <c r="H250" s="29">
        <v>0</v>
      </c>
      <c r="I250" s="29">
        <v>648</v>
      </c>
      <c r="J250" s="29">
        <v>0</v>
      </c>
      <c r="K250" s="53">
        <v>46631</v>
      </c>
    </row>
    <row r="251" spans="1:11" s="30" customFormat="1" ht="30" x14ac:dyDescent="0.25">
      <c r="A251" s="2">
        <v>25</v>
      </c>
      <c r="B251" s="200"/>
      <c r="C251" s="41" t="s">
        <v>401</v>
      </c>
      <c r="D251" s="141" t="s">
        <v>348</v>
      </c>
      <c r="E251" s="8" t="s">
        <v>23</v>
      </c>
      <c r="F251" s="42">
        <f t="shared" si="22"/>
        <v>75.3</v>
      </c>
      <c r="G251" s="29">
        <v>0</v>
      </c>
      <c r="H251" s="29">
        <v>0</v>
      </c>
      <c r="I251" s="29">
        <v>75.3</v>
      </c>
      <c r="J251" s="29">
        <v>0</v>
      </c>
      <c r="K251" s="53">
        <v>46388</v>
      </c>
    </row>
    <row r="252" spans="1:11" s="34" customFormat="1" ht="30.75" customHeight="1" x14ac:dyDescent="0.25">
      <c r="A252" s="172" t="s">
        <v>1210</v>
      </c>
      <c r="B252" s="172"/>
      <c r="C252" s="172"/>
      <c r="D252" s="20"/>
      <c r="E252" s="20"/>
      <c r="F252" s="33">
        <f>SUM(F232:F251)</f>
        <v>12200.3</v>
      </c>
      <c r="G252" s="33">
        <f t="shared" ref="G252:J252" si="23">SUM(G232:G251)</f>
        <v>0</v>
      </c>
      <c r="H252" s="33">
        <f t="shared" si="23"/>
        <v>11373</v>
      </c>
      <c r="I252" s="33">
        <f t="shared" si="23"/>
        <v>827.3</v>
      </c>
      <c r="J252" s="33">
        <f t="shared" si="23"/>
        <v>0</v>
      </c>
      <c r="K252" s="55"/>
    </row>
    <row r="253" spans="1:11" s="34" customFormat="1" ht="30" x14ac:dyDescent="0.25">
      <c r="A253" s="11">
        <v>1</v>
      </c>
      <c r="B253" s="198" t="s">
        <v>358</v>
      </c>
      <c r="C253" s="41" t="s">
        <v>402</v>
      </c>
      <c r="D253" s="146" t="s">
        <v>367</v>
      </c>
      <c r="E253" s="57" t="s">
        <v>23</v>
      </c>
      <c r="F253" s="42">
        <f>SUM(G253:J253)</f>
        <v>191</v>
      </c>
      <c r="G253" s="58">
        <v>0</v>
      </c>
      <c r="H253" s="40">
        <v>0</v>
      </c>
      <c r="I253" s="42">
        <v>191</v>
      </c>
      <c r="J253" s="40">
        <v>0</v>
      </c>
      <c r="K253" s="53">
        <v>46753</v>
      </c>
    </row>
    <row r="254" spans="1:11" s="34" customFormat="1" ht="45" x14ac:dyDescent="0.25">
      <c r="A254" s="2">
        <v>2</v>
      </c>
      <c r="B254" s="199"/>
      <c r="C254" s="41" t="s">
        <v>403</v>
      </c>
      <c r="D254" s="141" t="s">
        <v>371</v>
      </c>
      <c r="E254" s="8" t="s">
        <v>23</v>
      </c>
      <c r="F254" s="42">
        <f t="shared" ref="F254:F263" si="24">SUM(G254:J254)</f>
        <v>126.048</v>
      </c>
      <c r="G254" s="58">
        <v>0</v>
      </c>
      <c r="H254" s="40">
        <v>0</v>
      </c>
      <c r="I254" s="42">
        <v>126.048</v>
      </c>
      <c r="J254" s="40">
        <v>0</v>
      </c>
      <c r="K254" s="53">
        <v>46753</v>
      </c>
    </row>
    <row r="255" spans="1:11" s="34" customFormat="1" ht="45" x14ac:dyDescent="0.25">
      <c r="A255" s="2">
        <v>3</v>
      </c>
      <c r="B255" s="199"/>
      <c r="C255" s="41" t="s">
        <v>404</v>
      </c>
      <c r="D255" s="141" t="s">
        <v>405</v>
      </c>
      <c r="E255" s="8" t="s">
        <v>23</v>
      </c>
      <c r="F255" s="42">
        <f t="shared" si="24"/>
        <v>2703.6600899999999</v>
      </c>
      <c r="G255" s="58">
        <v>0</v>
      </c>
      <c r="H255" s="40">
        <v>0</v>
      </c>
      <c r="I255" s="42">
        <v>2703.6600899999999</v>
      </c>
      <c r="J255" s="40">
        <v>0</v>
      </c>
      <c r="K255" s="53">
        <v>46753</v>
      </c>
    </row>
    <row r="256" spans="1:11" s="34" customFormat="1" ht="30" x14ac:dyDescent="0.25">
      <c r="A256" s="2">
        <v>4</v>
      </c>
      <c r="B256" s="199"/>
      <c r="C256" s="41" t="s">
        <v>406</v>
      </c>
      <c r="D256" s="141" t="s">
        <v>375</v>
      </c>
      <c r="E256" s="8" t="s">
        <v>23</v>
      </c>
      <c r="F256" s="42">
        <f t="shared" si="24"/>
        <v>47.7</v>
      </c>
      <c r="G256" s="58">
        <v>0</v>
      </c>
      <c r="H256" s="40">
        <v>0</v>
      </c>
      <c r="I256" s="42">
        <v>47.7</v>
      </c>
      <c r="J256" s="40">
        <v>0</v>
      </c>
      <c r="K256" s="53">
        <v>46784</v>
      </c>
    </row>
    <row r="257" spans="1:11" s="34" customFormat="1" ht="30" x14ac:dyDescent="0.25">
      <c r="A257" s="2">
        <v>5</v>
      </c>
      <c r="B257" s="199"/>
      <c r="C257" s="41" t="s">
        <v>407</v>
      </c>
      <c r="D257" s="141" t="s">
        <v>408</v>
      </c>
      <c r="E257" s="8" t="s">
        <v>23</v>
      </c>
      <c r="F257" s="42">
        <f t="shared" si="24"/>
        <v>263.01670000000001</v>
      </c>
      <c r="G257" s="58">
        <v>0</v>
      </c>
      <c r="H257" s="40">
        <v>0</v>
      </c>
      <c r="I257" s="42">
        <v>263.01670000000001</v>
      </c>
      <c r="J257" s="40">
        <v>0</v>
      </c>
      <c r="K257" s="53">
        <v>46784</v>
      </c>
    </row>
    <row r="258" spans="1:11" s="34" customFormat="1" ht="30" x14ac:dyDescent="0.25">
      <c r="A258" s="2">
        <v>6</v>
      </c>
      <c r="B258" s="199"/>
      <c r="C258" s="41" t="s">
        <v>409</v>
      </c>
      <c r="D258" s="141" t="s">
        <v>383</v>
      </c>
      <c r="E258" s="8" t="s">
        <v>23</v>
      </c>
      <c r="F258" s="42">
        <f t="shared" si="24"/>
        <v>36.4</v>
      </c>
      <c r="G258" s="58">
        <v>0</v>
      </c>
      <c r="H258" s="40">
        <v>0</v>
      </c>
      <c r="I258" s="42">
        <v>36.4</v>
      </c>
      <c r="J258" s="40">
        <v>0</v>
      </c>
      <c r="K258" s="53">
        <v>46784</v>
      </c>
    </row>
    <row r="259" spans="1:11" s="34" customFormat="1" ht="30" x14ac:dyDescent="0.25">
      <c r="A259" s="2">
        <v>7</v>
      </c>
      <c r="B259" s="199"/>
      <c r="C259" s="41" t="s">
        <v>410</v>
      </c>
      <c r="D259" s="141" t="s">
        <v>385</v>
      </c>
      <c r="E259" s="8" t="s">
        <v>23</v>
      </c>
      <c r="F259" s="42">
        <f t="shared" si="24"/>
        <v>63.46669</v>
      </c>
      <c r="G259" s="58">
        <v>0</v>
      </c>
      <c r="H259" s="40">
        <v>0</v>
      </c>
      <c r="I259" s="42">
        <v>63.46669</v>
      </c>
      <c r="J259" s="40">
        <v>0</v>
      </c>
      <c r="K259" s="53">
        <v>46784</v>
      </c>
    </row>
    <row r="260" spans="1:11" s="34" customFormat="1" ht="30" x14ac:dyDescent="0.25">
      <c r="A260" s="2">
        <v>8</v>
      </c>
      <c r="B260" s="199"/>
      <c r="C260" s="41" t="s">
        <v>411</v>
      </c>
      <c r="D260" s="141" t="s">
        <v>387</v>
      </c>
      <c r="E260" s="8" t="s">
        <v>23</v>
      </c>
      <c r="F260" s="42">
        <f t="shared" si="24"/>
        <v>71.971980000000002</v>
      </c>
      <c r="G260" s="58">
        <v>0</v>
      </c>
      <c r="H260" s="40">
        <v>0</v>
      </c>
      <c r="I260" s="42">
        <v>71.971980000000002</v>
      </c>
      <c r="J260" s="40">
        <v>0</v>
      </c>
      <c r="K260" s="53">
        <v>46784</v>
      </c>
    </row>
    <row r="261" spans="1:11" s="34" customFormat="1" ht="45" x14ac:dyDescent="0.25">
      <c r="A261" s="2">
        <v>9</v>
      </c>
      <c r="B261" s="199"/>
      <c r="C261" s="41" t="s">
        <v>412</v>
      </c>
      <c r="D261" s="141" t="s">
        <v>377</v>
      </c>
      <c r="E261" s="8" t="s">
        <v>23</v>
      </c>
      <c r="F261" s="42">
        <f t="shared" si="24"/>
        <v>97.785399999999996</v>
      </c>
      <c r="G261" s="58">
        <v>0</v>
      </c>
      <c r="H261" s="40">
        <v>0</v>
      </c>
      <c r="I261" s="42">
        <v>97.785399999999996</v>
      </c>
      <c r="J261" s="40">
        <v>0</v>
      </c>
      <c r="K261" s="53">
        <v>46813</v>
      </c>
    </row>
    <row r="262" spans="1:11" s="34" customFormat="1" ht="45" x14ac:dyDescent="0.25">
      <c r="A262" s="2">
        <v>10</v>
      </c>
      <c r="B262" s="199"/>
      <c r="C262" s="41" t="s">
        <v>413</v>
      </c>
      <c r="D262" s="141" t="s">
        <v>377</v>
      </c>
      <c r="E262" s="8" t="s">
        <v>23</v>
      </c>
      <c r="F262" s="42">
        <f t="shared" si="24"/>
        <v>85.66</v>
      </c>
      <c r="G262" s="58">
        <v>0</v>
      </c>
      <c r="H262" s="40">
        <v>0</v>
      </c>
      <c r="I262" s="42">
        <v>85.66</v>
      </c>
      <c r="J262" s="40">
        <v>0</v>
      </c>
      <c r="K262" s="53">
        <v>46813</v>
      </c>
    </row>
    <row r="263" spans="1:11" s="34" customFormat="1" ht="30" x14ac:dyDescent="0.25">
      <c r="A263" s="2">
        <v>11</v>
      </c>
      <c r="B263" s="200"/>
      <c r="C263" s="41" t="s">
        <v>414</v>
      </c>
      <c r="D263" s="141" t="s">
        <v>379</v>
      </c>
      <c r="E263" s="8" t="s">
        <v>23</v>
      </c>
      <c r="F263" s="42">
        <f t="shared" si="24"/>
        <v>159.83068</v>
      </c>
      <c r="G263" s="58">
        <v>0</v>
      </c>
      <c r="H263" s="40">
        <v>0</v>
      </c>
      <c r="I263" s="42">
        <v>159.83068</v>
      </c>
      <c r="J263" s="40">
        <v>0</v>
      </c>
      <c r="K263" s="53">
        <v>46813</v>
      </c>
    </row>
    <row r="264" spans="1:11" s="34" customFormat="1" ht="27.75" customHeight="1" x14ac:dyDescent="0.25">
      <c r="A264" s="172" t="s">
        <v>1211</v>
      </c>
      <c r="B264" s="172"/>
      <c r="C264" s="172"/>
      <c r="D264" s="20"/>
      <c r="E264" s="20"/>
      <c r="F264" s="33">
        <f>SUM(F253:F263)</f>
        <v>3846.5395400000002</v>
      </c>
      <c r="G264" s="33">
        <f t="shared" ref="G264:J264" si="25">SUM(G253:G263)</f>
        <v>0</v>
      </c>
      <c r="H264" s="33">
        <f t="shared" si="25"/>
        <v>0</v>
      </c>
      <c r="I264" s="33">
        <f t="shared" si="25"/>
        <v>3846.5395400000002</v>
      </c>
      <c r="J264" s="33">
        <f t="shared" si="25"/>
        <v>0</v>
      </c>
      <c r="K264" s="31"/>
    </row>
    <row r="265" spans="1:11" s="30" customFormat="1" ht="45" x14ac:dyDescent="0.25">
      <c r="A265" s="2">
        <v>1</v>
      </c>
      <c r="B265" s="25" t="s">
        <v>415</v>
      </c>
      <c r="C265" s="47" t="s">
        <v>416</v>
      </c>
      <c r="D265" s="2" t="s">
        <v>417</v>
      </c>
      <c r="E265" s="8" t="s">
        <v>23</v>
      </c>
      <c r="F265" s="29">
        <v>315</v>
      </c>
      <c r="G265" s="29">
        <v>0</v>
      </c>
      <c r="H265" s="29">
        <v>315</v>
      </c>
      <c r="I265" s="29">
        <v>0</v>
      </c>
      <c r="J265" s="29">
        <v>0</v>
      </c>
      <c r="K265" s="28" t="s">
        <v>418</v>
      </c>
    </row>
    <row r="266" spans="1:11" s="34" customFormat="1" ht="30" customHeight="1" x14ac:dyDescent="0.25">
      <c r="A266" s="188" t="s">
        <v>1212</v>
      </c>
      <c r="B266" s="189"/>
      <c r="C266" s="190"/>
      <c r="D266" s="37"/>
      <c r="E266" s="20"/>
      <c r="F266" s="33">
        <f>SUM(F265)</f>
        <v>315</v>
      </c>
      <c r="G266" s="33">
        <f t="shared" ref="G266:J266" si="26">SUM(G265)</f>
        <v>0</v>
      </c>
      <c r="H266" s="33">
        <f t="shared" si="26"/>
        <v>315</v>
      </c>
      <c r="I266" s="33">
        <f t="shared" si="26"/>
        <v>0</v>
      </c>
      <c r="J266" s="33">
        <f t="shared" si="26"/>
        <v>0</v>
      </c>
      <c r="K266" s="31"/>
    </row>
    <row r="267" spans="1:11" s="30" customFormat="1" ht="30" x14ac:dyDescent="0.25">
      <c r="A267" s="2">
        <v>1</v>
      </c>
      <c r="B267" s="161" t="s">
        <v>415</v>
      </c>
      <c r="C267" s="47" t="s">
        <v>419</v>
      </c>
      <c r="D267" s="2" t="s">
        <v>420</v>
      </c>
      <c r="E267" s="8" t="s">
        <v>23</v>
      </c>
      <c r="F267" s="44">
        <v>2028</v>
      </c>
      <c r="G267" s="29">
        <v>0</v>
      </c>
      <c r="H267" s="44">
        <v>2028</v>
      </c>
      <c r="I267" s="29">
        <v>0</v>
      </c>
      <c r="J267" s="29">
        <v>0</v>
      </c>
      <c r="K267" s="28" t="s">
        <v>73</v>
      </c>
    </row>
    <row r="268" spans="1:11" s="30" customFormat="1" ht="30" x14ac:dyDescent="0.25">
      <c r="A268" s="2">
        <v>2</v>
      </c>
      <c r="B268" s="162"/>
      <c r="C268" s="47" t="s">
        <v>421</v>
      </c>
      <c r="D268" s="2" t="s">
        <v>422</v>
      </c>
      <c r="E268" s="8" t="s">
        <v>23</v>
      </c>
      <c r="F268" s="44">
        <v>198.21</v>
      </c>
      <c r="G268" s="29">
        <v>0</v>
      </c>
      <c r="H268" s="44">
        <v>198.21</v>
      </c>
      <c r="I268" s="29">
        <v>0</v>
      </c>
      <c r="J268" s="29">
        <v>0</v>
      </c>
      <c r="K268" s="28" t="s">
        <v>73</v>
      </c>
    </row>
    <row r="269" spans="1:11" s="30" customFormat="1" ht="30" x14ac:dyDescent="0.25">
      <c r="A269" s="2">
        <v>3</v>
      </c>
      <c r="B269" s="162"/>
      <c r="C269" s="47" t="s">
        <v>423</v>
      </c>
      <c r="D269" s="2" t="s">
        <v>149</v>
      </c>
      <c r="E269" s="8" t="s">
        <v>23</v>
      </c>
      <c r="F269" s="29">
        <v>923.17</v>
      </c>
      <c r="G269" s="29">
        <v>0</v>
      </c>
      <c r="H269" s="44">
        <v>842.64</v>
      </c>
      <c r="I269" s="29">
        <v>80.53</v>
      </c>
      <c r="J269" s="29">
        <v>0</v>
      </c>
      <c r="K269" s="28" t="s">
        <v>424</v>
      </c>
    </row>
    <row r="270" spans="1:11" s="30" customFormat="1" ht="45" x14ac:dyDescent="0.25">
      <c r="A270" s="2">
        <v>4</v>
      </c>
      <c r="B270" s="162"/>
      <c r="C270" s="47" t="s">
        <v>425</v>
      </c>
      <c r="D270" s="2" t="s">
        <v>426</v>
      </c>
      <c r="E270" s="8" t="s">
        <v>23</v>
      </c>
      <c r="F270" s="29">
        <v>749.85</v>
      </c>
      <c r="G270" s="29">
        <v>0</v>
      </c>
      <c r="H270" s="29">
        <v>0</v>
      </c>
      <c r="I270" s="29">
        <v>749.85</v>
      </c>
      <c r="J270" s="29">
        <v>0</v>
      </c>
      <c r="K270" s="28" t="s">
        <v>75</v>
      </c>
    </row>
    <row r="271" spans="1:11" s="30" customFormat="1" ht="45" x14ac:dyDescent="0.25">
      <c r="A271" s="2">
        <v>5</v>
      </c>
      <c r="B271" s="162"/>
      <c r="C271" s="47" t="s">
        <v>427</v>
      </c>
      <c r="D271" s="2" t="s">
        <v>417</v>
      </c>
      <c r="E271" s="8" t="s">
        <v>23</v>
      </c>
      <c r="F271" s="29">
        <v>315</v>
      </c>
      <c r="G271" s="29">
        <v>0</v>
      </c>
      <c r="H271" s="29">
        <v>0</v>
      </c>
      <c r="I271" s="29">
        <v>315</v>
      </c>
      <c r="J271" s="29">
        <v>0</v>
      </c>
      <c r="K271" s="28" t="s">
        <v>428</v>
      </c>
    </row>
    <row r="272" spans="1:11" s="30" customFormat="1" ht="30" x14ac:dyDescent="0.25">
      <c r="A272" s="2">
        <v>6</v>
      </c>
      <c r="B272" s="162"/>
      <c r="C272" s="47" t="s">
        <v>429</v>
      </c>
      <c r="D272" s="2" t="s">
        <v>430</v>
      </c>
      <c r="E272" s="8" t="s">
        <v>23</v>
      </c>
      <c r="F272" s="44">
        <v>2975</v>
      </c>
      <c r="G272" s="29">
        <v>0</v>
      </c>
      <c r="H272" s="29">
        <v>0</v>
      </c>
      <c r="I272" s="44">
        <v>2975</v>
      </c>
      <c r="J272" s="29">
        <v>0</v>
      </c>
      <c r="K272" s="28" t="s">
        <v>428</v>
      </c>
    </row>
    <row r="273" spans="1:11" s="30" customFormat="1" ht="45" x14ac:dyDescent="0.25">
      <c r="A273" s="2">
        <v>7</v>
      </c>
      <c r="B273" s="162"/>
      <c r="C273" s="47" t="s">
        <v>431</v>
      </c>
      <c r="D273" s="2" t="s">
        <v>432</v>
      </c>
      <c r="E273" s="8" t="s">
        <v>23</v>
      </c>
      <c r="F273" s="44">
        <v>7476.39</v>
      </c>
      <c r="G273" s="29">
        <v>0</v>
      </c>
      <c r="H273" s="29">
        <v>0</v>
      </c>
      <c r="I273" s="44">
        <v>7476.39</v>
      </c>
      <c r="J273" s="29">
        <v>0</v>
      </c>
      <c r="K273" s="28" t="s">
        <v>75</v>
      </c>
    </row>
    <row r="274" spans="1:11" s="30" customFormat="1" ht="30" x14ac:dyDescent="0.25">
      <c r="A274" s="2">
        <v>8</v>
      </c>
      <c r="B274" s="163"/>
      <c r="C274" s="47" t="s">
        <v>433</v>
      </c>
      <c r="D274" s="2" t="s">
        <v>341</v>
      </c>
      <c r="E274" s="8" t="s">
        <v>23</v>
      </c>
      <c r="F274" s="44">
        <v>942.33</v>
      </c>
      <c r="G274" s="29">
        <v>0</v>
      </c>
      <c r="H274" s="29">
        <v>0</v>
      </c>
      <c r="I274" s="44">
        <v>942.33</v>
      </c>
      <c r="J274" s="29">
        <v>0</v>
      </c>
      <c r="K274" s="28" t="s">
        <v>210</v>
      </c>
    </row>
    <row r="275" spans="1:11" s="34" customFormat="1" ht="24.75" customHeight="1" x14ac:dyDescent="0.25">
      <c r="A275" s="188" t="s">
        <v>434</v>
      </c>
      <c r="B275" s="189"/>
      <c r="C275" s="190"/>
      <c r="D275" s="20"/>
      <c r="E275" s="20"/>
      <c r="F275" s="33">
        <f>SUM(F267:F274)</f>
        <v>15607.949999999999</v>
      </c>
      <c r="G275" s="33">
        <f t="shared" ref="G275:J275" si="27">SUM(G267:G274)</f>
        <v>0</v>
      </c>
      <c r="H275" s="33">
        <f t="shared" si="27"/>
        <v>3068.85</v>
      </c>
      <c r="I275" s="33">
        <f t="shared" si="27"/>
        <v>12539.1</v>
      </c>
      <c r="J275" s="33">
        <f t="shared" si="27"/>
        <v>0</v>
      </c>
      <c r="K275" s="31"/>
    </row>
    <row r="276" spans="1:11" s="30" customFormat="1" ht="30" x14ac:dyDescent="0.25">
      <c r="A276" s="2">
        <v>1</v>
      </c>
      <c r="B276" s="161" t="s">
        <v>415</v>
      </c>
      <c r="C276" s="47" t="s">
        <v>435</v>
      </c>
      <c r="D276" s="2" t="s">
        <v>420</v>
      </c>
      <c r="E276" s="8" t="s">
        <v>23</v>
      </c>
      <c r="F276" s="44">
        <v>2028</v>
      </c>
      <c r="G276" s="29">
        <v>0</v>
      </c>
      <c r="H276" s="29">
        <v>0</v>
      </c>
      <c r="I276" s="44">
        <v>2028</v>
      </c>
      <c r="J276" s="29">
        <v>0</v>
      </c>
      <c r="K276" s="28" t="s">
        <v>115</v>
      </c>
    </row>
    <row r="277" spans="1:11" s="30" customFormat="1" ht="30" x14ac:dyDescent="0.25">
      <c r="A277" s="2">
        <v>2</v>
      </c>
      <c r="B277" s="162"/>
      <c r="C277" s="47" t="s">
        <v>436</v>
      </c>
      <c r="D277" s="2" t="s">
        <v>422</v>
      </c>
      <c r="E277" s="8" t="s">
        <v>23</v>
      </c>
      <c r="F277" s="44">
        <v>198.21</v>
      </c>
      <c r="G277" s="29">
        <v>0</v>
      </c>
      <c r="H277" s="29">
        <v>0</v>
      </c>
      <c r="I277" s="44">
        <v>198.21</v>
      </c>
      <c r="J277" s="29">
        <v>0</v>
      </c>
      <c r="K277" s="28" t="s">
        <v>115</v>
      </c>
    </row>
    <row r="278" spans="1:11" s="30" customFormat="1" ht="30" x14ac:dyDescent="0.25">
      <c r="A278" s="2">
        <v>3</v>
      </c>
      <c r="B278" s="163"/>
      <c r="C278" s="47" t="s">
        <v>437</v>
      </c>
      <c r="D278" s="2" t="s">
        <v>149</v>
      </c>
      <c r="E278" s="8" t="s">
        <v>23</v>
      </c>
      <c r="F278" s="44">
        <v>843.63</v>
      </c>
      <c r="G278" s="29">
        <v>0</v>
      </c>
      <c r="H278" s="29">
        <v>0</v>
      </c>
      <c r="I278" s="44">
        <v>843.63</v>
      </c>
      <c r="J278" s="29">
        <v>0</v>
      </c>
      <c r="K278" s="28" t="s">
        <v>438</v>
      </c>
    </row>
    <row r="279" spans="1:11" s="34" customFormat="1" ht="30.6" customHeight="1" x14ac:dyDescent="0.25">
      <c r="A279" s="172" t="s">
        <v>1213</v>
      </c>
      <c r="B279" s="172"/>
      <c r="C279" s="172"/>
      <c r="D279" s="20"/>
      <c r="E279" s="20"/>
      <c r="F279" s="33">
        <f>SUM(F276:F278)</f>
        <v>3069.84</v>
      </c>
      <c r="G279" s="33">
        <f t="shared" ref="G279:J279" si="28">SUM(G276:G278)</f>
        <v>0</v>
      </c>
      <c r="H279" s="33">
        <f t="shared" si="28"/>
        <v>0</v>
      </c>
      <c r="I279" s="33">
        <f t="shared" si="28"/>
        <v>3069.84</v>
      </c>
      <c r="J279" s="33">
        <f t="shared" si="28"/>
        <v>0</v>
      </c>
      <c r="K279" s="31"/>
    </row>
    <row r="280" spans="1:11" s="30" customFormat="1" ht="30" x14ac:dyDescent="0.25">
      <c r="A280" s="2">
        <v>1</v>
      </c>
      <c r="B280" s="161" t="s">
        <v>439</v>
      </c>
      <c r="C280" s="23" t="s">
        <v>440</v>
      </c>
      <c r="D280" s="8" t="s">
        <v>149</v>
      </c>
      <c r="E280" s="8" t="s">
        <v>23</v>
      </c>
      <c r="F280" s="44">
        <f>SUM(G280:J280)</f>
        <v>1076.6408899999999</v>
      </c>
      <c r="G280" s="44">
        <v>0</v>
      </c>
      <c r="H280" s="29">
        <v>1076.6408899999999</v>
      </c>
      <c r="I280" s="29">
        <v>0</v>
      </c>
      <c r="J280" s="29">
        <v>0</v>
      </c>
      <c r="K280" s="28" t="s">
        <v>418</v>
      </c>
    </row>
    <row r="281" spans="1:11" s="30" customFormat="1" ht="30" x14ac:dyDescent="0.25">
      <c r="A281" s="2">
        <v>2</v>
      </c>
      <c r="B281" s="162"/>
      <c r="C281" s="23" t="s">
        <v>441</v>
      </c>
      <c r="D281" s="8" t="s">
        <v>442</v>
      </c>
      <c r="E281" s="8" t="s">
        <v>23</v>
      </c>
      <c r="F281" s="44">
        <f t="shared" ref="F281:F294" si="29">SUM(G281:J281)</f>
        <v>560</v>
      </c>
      <c r="G281" s="44">
        <v>0</v>
      </c>
      <c r="H281" s="29">
        <v>560</v>
      </c>
      <c r="I281" s="29">
        <v>0</v>
      </c>
      <c r="J281" s="29">
        <v>0</v>
      </c>
      <c r="K281" s="28" t="s">
        <v>37</v>
      </c>
    </row>
    <row r="282" spans="1:11" s="30" customFormat="1" ht="30" x14ac:dyDescent="0.25">
      <c r="A282" s="2">
        <v>3</v>
      </c>
      <c r="B282" s="162"/>
      <c r="C282" s="23" t="s">
        <v>443</v>
      </c>
      <c r="D282" s="8" t="s">
        <v>375</v>
      </c>
      <c r="E282" s="8" t="s">
        <v>23</v>
      </c>
      <c r="F282" s="44">
        <f t="shared" si="29"/>
        <v>266.5</v>
      </c>
      <c r="G282" s="44">
        <v>0</v>
      </c>
      <c r="H282" s="29">
        <v>266.5</v>
      </c>
      <c r="I282" s="29">
        <v>0</v>
      </c>
      <c r="J282" s="29">
        <v>0</v>
      </c>
      <c r="K282" s="28" t="s">
        <v>37</v>
      </c>
    </row>
    <row r="283" spans="1:11" s="30" customFormat="1" ht="30" x14ac:dyDescent="0.25">
      <c r="A283" s="2">
        <v>4</v>
      </c>
      <c r="B283" s="162"/>
      <c r="C283" s="23" t="s">
        <v>444</v>
      </c>
      <c r="D283" s="8" t="s">
        <v>445</v>
      </c>
      <c r="E283" s="8" t="s">
        <v>23</v>
      </c>
      <c r="F283" s="44">
        <f t="shared" si="29"/>
        <v>49.767000000000003</v>
      </c>
      <c r="G283" s="44">
        <v>0</v>
      </c>
      <c r="H283" s="29">
        <v>49.767000000000003</v>
      </c>
      <c r="I283" s="29">
        <v>0</v>
      </c>
      <c r="J283" s="29">
        <v>0</v>
      </c>
      <c r="K283" s="28" t="s">
        <v>418</v>
      </c>
    </row>
    <row r="284" spans="1:11" s="30" customFormat="1" ht="30" x14ac:dyDescent="0.25">
      <c r="A284" s="2">
        <v>5</v>
      </c>
      <c r="B284" s="162"/>
      <c r="C284" s="23" t="s">
        <v>446</v>
      </c>
      <c r="D284" s="8" t="s">
        <v>447</v>
      </c>
      <c r="E284" s="8" t="s">
        <v>23</v>
      </c>
      <c r="F284" s="44">
        <f t="shared" si="29"/>
        <v>288.7056</v>
      </c>
      <c r="G284" s="44">
        <v>0</v>
      </c>
      <c r="H284" s="29">
        <v>288.7056</v>
      </c>
      <c r="I284" s="29">
        <v>0</v>
      </c>
      <c r="J284" s="29">
        <v>0</v>
      </c>
      <c r="K284" s="28" t="s">
        <v>418</v>
      </c>
    </row>
    <row r="285" spans="1:11" s="30" customFormat="1" ht="30" x14ac:dyDescent="0.25">
      <c r="A285" s="2">
        <v>6</v>
      </c>
      <c r="B285" s="162"/>
      <c r="C285" s="23" t="s">
        <v>448</v>
      </c>
      <c r="D285" s="8" t="s">
        <v>449</v>
      </c>
      <c r="E285" s="8" t="s">
        <v>23</v>
      </c>
      <c r="F285" s="44">
        <f t="shared" si="29"/>
        <v>465.58</v>
      </c>
      <c r="G285" s="44">
        <v>0</v>
      </c>
      <c r="H285" s="29">
        <v>465.58</v>
      </c>
      <c r="I285" s="29">
        <v>0</v>
      </c>
      <c r="J285" s="29">
        <v>0</v>
      </c>
      <c r="K285" s="28" t="s">
        <v>37</v>
      </c>
    </row>
    <row r="286" spans="1:11" s="30" customFormat="1" ht="45" x14ac:dyDescent="0.25">
      <c r="A286" s="2">
        <v>7</v>
      </c>
      <c r="B286" s="162"/>
      <c r="C286" s="23" t="s">
        <v>450</v>
      </c>
      <c r="D286" s="8" t="s">
        <v>451</v>
      </c>
      <c r="E286" s="8" t="s">
        <v>23</v>
      </c>
      <c r="F286" s="44">
        <f t="shared" si="29"/>
        <v>210</v>
      </c>
      <c r="G286" s="44">
        <v>0</v>
      </c>
      <c r="H286" s="29">
        <v>210</v>
      </c>
      <c r="I286" s="29">
        <v>0</v>
      </c>
      <c r="J286" s="29">
        <v>0</v>
      </c>
      <c r="K286" s="28" t="s">
        <v>37</v>
      </c>
    </row>
    <row r="287" spans="1:11" s="30" customFormat="1" ht="45" x14ac:dyDescent="0.25">
      <c r="A287" s="2">
        <v>8</v>
      </c>
      <c r="B287" s="162"/>
      <c r="C287" s="23" t="s">
        <v>452</v>
      </c>
      <c r="D287" s="8" t="s">
        <v>453</v>
      </c>
      <c r="E287" s="8" t="s">
        <v>23</v>
      </c>
      <c r="F287" s="44">
        <f t="shared" si="29"/>
        <v>210</v>
      </c>
      <c r="G287" s="44">
        <v>0</v>
      </c>
      <c r="H287" s="29">
        <v>210</v>
      </c>
      <c r="I287" s="29">
        <v>0</v>
      </c>
      <c r="J287" s="29">
        <v>0</v>
      </c>
      <c r="K287" s="28" t="s">
        <v>37</v>
      </c>
    </row>
    <row r="288" spans="1:11" s="30" customFormat="1" ht="45" x14ac:dyDescent="0.25">
      <c r="A288" s="2">
        <v>9</v>
      </c>
      <c r="B288" s="162"/>
      <c r="C288" s="23" t="s">
        <v>454</v>
      </c>
      <c r="D288" s="8" t="s">
        <v>455</v>
      </c>
      <c r="E288" s="8" t="s">
        <v>23</v>
      </c>
      <c r="F288" s="44">
        <f t="shared" si="29"/>
        <v>270.39999999999998</v>
      </c>
      <c r="G288" s="44">
        <v>0</v>
      </c>
      <c r="H288" s="29">
        <v>270.39999999999998</v>
      </c>
      <c r="I288" s="29">
        <v>0</v>
      </c>
      <c r="J288" s="29">
        <v>0</v>
      </c>
      <c r="K288" s="28" t="s">
        <v>54</v>
      </c>
    </row>
    <row r="289" spans="1:11" s="30" customFormat="1" ht="45" x14ac:dyDescent="0.25">
      <c r="A289" s="2">
        <v>10</v>
      </c>
      <c r="B289" s="162"/>
      <c r="C289" s="23" t="s">
        <v>456</v>
      </c>
      <c r="D289" s="8" t="s">
        <v>451</v>
      </c>
      <c r="E289" s="8" t="s">
        <v>23</v>
      </c>
      <c r="F289" s="44">
        <f t="shared" si="29"/>
        <v>210</v>
      </c>
      <c r="G289" s="44">
        <v>0</v>
      </c>
      <c r="H289" s="29">
        <v>210</v>
      </c>
      <c r="I289" s="29">
        <v>0</v>
      </c>
      <c r="J289" s="29">
        <v>0</v>
      </c>
      <c r="K289" s="28" t="s">
        <v>37</v>
      </c>
    </row>
    <row r="290" spans="1:11" s="30" customFormat="1" ht="45" x14ac:dyDescent="0.25">
      <c r="A290" s="2">
        <v>11</v>
      </c>
      <c r="B290" s="162"/>
      <c r="C290" s="23" t="s">
        <v>457</v>
      </c>
      <c r="D290" s="8" t="s">
        <v>458</v>
      </c>
      <c r="E290" s="8" t="s">
        <v>23</v>
      </c>
      <c r="F290" s="44">
        <f t="shared" si="29"/>
        <v>2302.4</v>
      </c>
      <c r="G290" s="44">
        <v>0</v>
      </c>
      <c r="H290" s="29">
        <v>2302.4</v>
      </c>
      <c r="I290" s="29">
        <v>0</v>
      </c>
      <c r="J290" s="29">
        <v>0</v>
      </c>
      <c r="K290" s="28" t="s">
        <v>272</v>
      </c>
    </row>
    <row r="291" spans="1:11" s="30" customFormat="1" ht="45" x14ac:dyDescent="0.25">
      <c r="A291" s="2">
        <v>12</v>
      </c>
      <c r="B291" s="162"/>
      <c r="C291" s="23" t="s">
        <v>459</v>
      </c>
      <c r="D291" s="8" t="s">
        <v>451</v>
      </c>
      <c r="E291" s="8" t="s">
        <v>23</v>
      </c>
      <c r="F291" s="44">
        <f t="shared" si="29"/>
        <v>150</v>
      </c>
      <c r="G291" s="44">
        <v>0</v>
      </c>
      <c r="H291" s="29">
        <v>150</v>
      </c>
      <c r="I291" s="29">
        <v>0</v>
      </c>
      <c r="J291" s="29">
        <v>0</v>
      </c>
      <c r="K291" s="28" t="s">
        <v>54</v>
      </c>
    </row>
    <row r="292" spans="1:11" s="30" customFormat="1" ht="45" x14ac:dyDescent="0.25">
      <c r="A292" s="2">
        <v>13</v>
      </c>
      <c r="B292" s="162"/>
      <c r="C292" s="23" t="s">
        <v>460</v>
      </c>
      <c r="D292" s="8" t="s">
        <v>451</v>
      </c>
      <c r="E292" s="8" t="s">
        <v>23</v>
      </c>
      <c r="F292" s="44">
        <f t="shared" si="29"/>
        <v>150</v>
      </c>
      <c r="G292" s="44">
        <v>0</v>
      </c>
      <c r="H292" s="29">
        <v>150</v>
      </c>
      <c r="I292" s="29">
        <v>0</v>
      </c>
      <c r="J292" s="29">
        <v>0</v>
      </c>
      <c r="K292" s="28" t="s">
        <v>54</v>
      </c>
    </row>
    <row r="293" spans="1:11" s="30" customFormat="1" ht="30" x14ac:dyDescent="0.25">
      <c r="A293" s="2">
        <v>14</v>
      </c>
      <c r="B293" s="162"/>
      <c r="C293" s="23" t="s">
        <v>461</v>
      </c>
      <c r="D293" s="8" t="s">
        <v>462</v>
      </c>
      <c r="E293" s="8" t="s">
        <v>23</v>
      </c>
      <c r="F293" s="44">
        <f t="shared" si="29"/>
        <v>159.30000000000001</v>
      </c>
      <c r="G293" s="44">
        <v>0</v>
      </c>
      <c r="H293" s="29">
        <v>159.30000000000001</v>
      </c>
      <c r="I293" s="29">
        <v>0</v>
      </c>
      <c r="J293" s="29">
        <v>0</v>
      </c>
      <c r="K293" s="28" t="s">
        <v>418</v>
      </c>
    </row>
    <row r="294" spans="1:11" s="30" customFormat="1" ht="30" x14ac:dyDescent="0.25">
      <c r="A294" s="2">
        <v>15</v>
      </c>
      <c r="B294" s="163"/>
      <c r="C294" s="23" t="s">
        <v>463</v>
      </c>
      <c r="D294" s="8" t="s">
        <v>447</v>
      </c>
      <c r="E294" s="8" t="s">
        <v>23</v>
      </c>
      <c r="F294" s="44">
        <f t="shared" si="29"/>
        <v>188.352</v>
      </c>
      <c r="G294" s="44">
        <v>0</v>
      </c>
      <c r="H294" s="29">
        <v>188.352</v>
      </c>
      <c r="I294" s="29">
        <v>0</v>
      </c>
      <c r="J294" s="29">
        <v>0</v>
      </c>
      <c r="K294" s="28" t="s">
        <v>418</v>
      </c>
    </row>
    <row r="295" spans="1:11" s="34" customFormat="1" ht="30" customHeight="1" x14ac:dyDescent="0.25">
      <c r="A295" s="188" t="s">
        <v>1214</v>
      </c>
      <c r="B295" s="189"/>
      <c r="C295" s="190"/>
      <c r="D295" s="37"/>
      <c r="E295" s="37"/>
      <c r="F295" s="33">
        <f>SUM(F280:F294)</f>
        <v>6557.6454899999999</v>
      </c>
      <c r="G295" s="33">
        <f t="shared" ref="G295:J295" si="30">SUM(G280:G294)</f>
        <v>0</v>
      </c>
      <c r="H295" s="33">
        <f t="shared" si="30"/>
        <v>6557.6454899999999</v>
      </c>
      <c r="I295" s="33">
        <f t="shared" si="30"/>
        <v>0</v>
      </c>
      <c r="J295" s="33">
        <f t="shared" si="30"/>
        <v>0</v>
      </c>
      <c r="K295" s="31"/>
    </row>
    <row r="296" spans="1:11" s="30" customFormat="1" ht="30" x14ac:dyDescent="0.25">
      <c r="A296" s="2">
        <v>1</v>
      </c>
      <c r="B296" s="161" t="s">
        <v>464</v>
      </c>
      <c r="C296" s="23" t="s">
        <v>465</v>
      </c>
      <c r="D296" s="46" t="s">
        <v>149</v>
      </c>
      <c r="E296" s="8" t="s">
        <v>23</v>
      </c>
      <c r="F296" s="36">
        <f>SUM(G296:J296)</f>
        <v>1077.23874</v>
      </c>
      <c r="G296" s="44">
        <v>0</v>
      </c>
      <c r="H296" s="44">
        <v>0</v>
      </c>
      <c r="I296" s="29">
        <v>1077.23874</v>
      </c>
      <c r="J296" s="44">
        <v>0</v>
      </c>
      <c r="K296" s="28" t="s">
        <v>210</v>
      </c>
    </row>
    <row r="297" spans="1:11" s="30" customFormat="1" ht="30" x14ac:dyDescent="0.25">
      <c r="A297" s="2">
        <v>2</v>
      </c>
      <c r="B297" s="162"/>
      <c r="C297" s="28" t="s">
        <v>466</v>
      </c>
      <c r="D297" s="46" t="s">
        <v>375</v>
      </c>
      <c r="E297" s="8" t="s">
        <v>23</v>
      </c>
      <c r="F297" s="36">
        <f t="shared" ref="F297:F311" si="31">SUM(G297:J297)</f>
        <v>266.5</v>
      </c>
      <c r="G297" s="44">
        <v>0</v>
      </c>
      <c r="H297" s="44">
        <v>0</v>
      </c>
      <c r="I297" s="29">
        <v>266.5</v>
      </c>
      <c r="J297" s="44">
        <v>0</v>
      </c>
      <c r="K297" s="28" t="s">
        <v>63</v>
      </c>
    </row>
    <row r="298" spans="1:11" s="30" customFormat="1" ht="30" x14ac:dyDescent="0.25">
      <c r="A298" s="2">
        <v>3</v>
      </c>
      <c r="B298" s="162"/>
      <c r="C298" s="28" t="s">
        <v>467</v>
      </c>
      <c r="D298" s="46" t="s">
        <v>442</v>
      </c>
      <c r="E298" s="8" t="s">
        <v>23</v>
      </c>
      <c r="F298" s="36">
        <f t="shared" si="31"/>
        <v>560</v>
      </c>
      <c r="G298" s="44">
        <v>0</v>
      </c>
      <c r="H298" s="44">
        <v>0</v>
      </c>
      <c r="I298" s="29">
        <v>560</v>
      </c>
      <c r="J298" s="44">
        <v>0</v>
      </c>
      <c r="K298" s="28" t="s">
        <v>63</v>
      </c>
    </row>
    <row r="299" spans="1:11" s="30" customFormat="1" ht="30" x14ac:dyDescent="0.25">
      <c r="A299" s="2">
        <v>4</v>
      </c>
      <c r="B299" s="162"/>
      <c r="C299" s="28" t="s">
        <v>468</v>
      </c>
      <c r="D299" s="46" t="s">
        <v>445</v>
      </c>
      <c r="E299" s="8" t="s">
        <v>23</v>
      </c>
      <c r="F299" s="36">
        <f t="shared" si="31"/>
        <v>71.894000000000005</v>
      </c>
      <c r="G299" s="44">
        <v>0</v>
      </c>
      <c r="H299" s="44">
        <v>0</v>
      </c>
      <c r="I299" s="29">
        <v>71.894000000000005</v>
      </c>
      <c r="J299" s="44">
        <v>0</v>
      </c>
      <c r="K299" s="28" t="s">
        <v>210</v>
      </c>
    </row>
    <row r="300" spans="1:11" s="30" customFormat="1" ht="30" x14ac:dyDescent="0.25">
      <c r="A300" s="2">
        <v>5</v>
      </c>
      <c r="B300" s="162"/>
      <c r="C300" s="28" t="s">
        <v>469</v>
      </c>
      <c r="D300" s="46" t="s">
        <v>447</v>
      </c>
      <c r="E300" s="8" t="s">
        <v>23</v>
      </c>
      <c r="F300" s="36">
        <f t="shared" si="31"/>
        <v>288.7056</v>
      </c>
      <c r="G300" s="44">
        <v>0</v>
      </c>
      <c r="H300" s="44">
        <v>0</v>
      </c>
      <c r="I300" s="29">
        <v>288.7056</v>
      </c>
      <c r="J300" s="44">
        <v>0</v>
      </c>
      <c r="K300" s="28" t="s">
        <v>210</v>
      </c>
    </row>
    <row r="301" spans="1:11" s="30" customFormat="1" ht="30" x14ac:dyDescent="0.25">
      <c r="A301" s="2">
        <v>6</v>
      </c>
      <c r="B301" s="162"/>
      <c r="C301" s="28" t="s">
        <v>470</v>
      </c>
      <c r="D301" s="46" t="s">
        <v>447</v>
      </c>
      <c r="E301" s="8" t="s">
        <v>23</v>
      </c>
      <c r="F301" s="36">
        <f t="shared" si="31"/>
        <v>188.352</v>
      </c>
      <c r="G301" s="44">
        <v>0</v>
      </c>
      <c r="H301" s="44">
        <v>0</v>
      </c>
      <c r="I301" s="29">
        <v>188.352</v>
      </c>
      <c r="J301" s="44">
        <v>0</v>
      </c>
      <c r="K301" s="28" t="s">
        <v>210</v>
      </c>
    </row>
    <row r="302" spans="1:11" s="30" customFormat="1" ht="30" x14ac:dyDescent="0.25">
      <c r="A302" s="2">
        <v>7</v>
      </c>
      <c r="B302" s="162"/>
      <c r="C302" s="28" t="s">
        <v>471</v>
      </c>
      <c r="D302" s="46" t="s">
        <v>449</v>
      </c>
      <c r="E302" s="8" t="s">
        <v>23</v>
      </c>
      <c r="F302" s="36">
        <f t="shared" si="31"/>
        <v>465.58</v>
      </c>
      <c r="G302" s="44">
        <v>0</v>
      </c>
      <c r="H302" s="44">
        <v>0</v>
      </c>
      <c r="I302" s="29">
        <v>465.58</v>
      </c>
      <c r="J302" s="44">
        <v>0</v>
      </c>
      <c r="K302" s="28" t="s">
        <v>63</v>
      </c>
    </row>
    <row r="303" spans="1:11" s="30" customFormat="1" ht="45" x14ac:dyDescent="0.25">
      <c r="A303" s="2">
        <v>8</v>
      </c>
      <c r="B303" s="162"/>
      <c r="C303" s="28" t="s">
        <v>472</v>
      </c>
      <c r="D303" s="46" t="s">
        <v>451</v>
      </c>
      <c r="E303" s="8" t="s">
        <v>23</v>
      </c>
      <c r="F303" s="36">
        <f t="shared" si="31"/>
        <v>210</v>
      </c>
      <c r="G303" s="44">
        <v>0</v>
      </c>
      <c r="H303" s="44">
        <v>0</v>
      </c>
      <c r="I303" s="29">
        <v>210</v>
      </c>
      <c r="J303" s="44">
        <v>0</v>
      </c>
      <c r="K303" s="28" t="s">
        <v>63</v>
      </c>
    </row>
    <row r="304" spans="1:11" s="30" customFormat="1" ht="45" x14ac:dyDescent="0.25">
      <c r="A304" s="2">
        <v>9</v>
      </c>
      <c r="B304" s="162"/>
      <c r="C304" s="28" t="s">
        <v>473</v>
      </c>
      <c r="D304" s="46" t="s">
        <v>453</v>
      </c>
      <c r="E304" s="8" t="s">
        <v>23</v>
      </c>
      <c r="F304" s="36">
        <f t="shared" si="31"/>
        <v>210</v>
      </c>
      <c r="G304" s="44">
        <v>0</v>
      </c>
      <c r="H304" s="44">
        <v>0</v>
      </c>
      <c r="I304" s="29">
        <v>210</v>
      </c>
      <c r="J304" s="44">
        <v>0</v>
      </c>
      <c r="K304" s="28" t="s">
        <v>63</v>
      </c>
    </row>
    <row r="305" spans="1:11" s="30" customFormat="1" ht="45" x14ac:dyDescent="0.25">
      <c r="A305" s="2">
        <v>10</v>
      </c>
      <c r="B305" s="162"/>
      <c r="C305" s="28" t="s">
        <v>474</v>
      </c>
      <c r="D305" s="46" t="s">
        <v>455</v>
      </c>
      <c r="E305" s="8" t="s">
        <v>23</v>
      </c>
      <c r="F305" s="36">
        <f t="shared" si="31"/>
        <v>270.39999999999998</v>
      </c>
      <c r="G305" s="44">
        <v>0</v>
      </c>
      <c r="H305" s="44">
        <v>0</v>
      </c>
      <c r="I305" s="29">
        <v>270.39999999999998</v>
      </c>
      <c r="J305" s="44">
        <v>0</v>
      </c>
      <c r="K305" s="28" t="s">
        <v>281</v>
      </c>
    </row>
    <row r="306" spans="1:11" s="30" customFormat="1" ht="45" x14ac:dyDescent="0.25">
      <c r="A306" s="2">
        <v>11</v>
      </c>
      <c r="B306" s="162"/>
      <c r="C306" s="28" t="s">
        <v>475</v>
      </c>
      <c r="D306" s="46" t="s">
        <v>451</v>
      </c>
      <c r="E306" s="8" t="s">
        <v>23</v>
      </c>
      <c r="F306" s="36">
        <f t="shared" si="31"/>
        <v>210</v>
      </c>
      <c r="G306" s="44">
        <v>0</v>
      </c>
      <c r="H306" s="44">
        <v>0</v>
      </c>
      <c r="I306" s="29">
        <v>210</v>
      </c>
      <c r="J306" s="44">
        <v>0</v>
      </c>
      <c r="K306" s="28" t="s">
        <v>63</v>
      </c>
    </row>
    <row r="307" spans="1:11" s="30" customFormat="1" ht="45" x14ac:dyDescent="0.25">
      <c r="A307" s="2">
        <v>12</v>
      </c>
      <c r="B307" s="162"/>
      <c r="C307" s="28" t="s">
        <v>476</v>
      </c>
      <c r="D307" s="46" t="s">
        <v>458</v>
      </c>
      <c r="E307" s="8" t="s">
        <v>23</v>
      </c>
      <c r="F307" s="36">
        <f t="shared" si="31"/>
        <v>2302.4</v>
      </c>
      <c r="G307" s="44">
        <v>0</v>
      </c>
      <c r="H307" s="44">
        <v>0</v>
      </c>
      <c r="I307" s="29">
        <v>2302.4</v>
      </c>
      <c r="J307" s="44">
        <v>0</v>
      </c>
      <c r="K307" s="28" t="s">
        <v>278</v>
      </c>
    </row>
    <row r="308" spans="1:11" s="30" customFormat="1" ht="45" x14ac:dyDescent="0.25">
      <c r="A308" s="2">
        <v>13</v>
      </c>
      <c r="B308" s="162"/>
      <c r="C308" s="28" t="s">
        <v>477</v>
      </c>
      <c r="D308" s="46" t="s">
        <v>451</v>
      </c>
      <c r="E308" s="8" t="s">
        <v>23</v>
      </c>
      <c r="F308" s="36">
        <f t="shared" si="31"/>
        <v>150</v>
      </c>
      <c r="G308" s="44">
        <v>0</v>
      </c>
      <c r="H308" s="44">
        <v>0</v>
      </c>
      <c r="I308" s="29">
        <v>150</v>
      </c>
      <c r="J308" s="44">
        <v>0</v>
      </c>
      <c r="K308" s="28" t="s">
        <v>281</v>
      </c>
    </row>
    <row r="309" spans="1:11" s="30" customFormat="1" ht="45" x14ac:dyDescent="0.25">
      <c r="A309" s="2">
        <v>14</v>
      </c>
      <c r="B309" s="162"/>
      <c r="C309" s="28" t="s">
        <v>478</v>
      </c>
      <c r="D309" s="46" t="s">
        <v>451</v>
      </c>
      <c r="E309" s="8" t="s">
        <v>23</v>
      </c>
      <c r="F309" s="36">
        <f t="shared" si="31"/>
        <v>150</v>
      </c>
      <c r="G309" s="44">
        <v>0</v>
      </c>
      <c r="H309" s="44">
        <v>0</v>
      </c>
      <c r="I309" s="29">
        <v>150</v>
      </c>
      <c r="J309" s="44">
        <v>0</v>
      </c>
      <c r="K309" s="28" t="s">
        <v>281</v>
      </c>
    </row>
    <row r="310" spans="1:11" s="30" customFormat="1" ht="30" x14ac:dyDescent="0.25">
      <c r="A310" s="2">
        <v>15</v>
      </c>
      <c r="B310" s="162"/>
      <c r="C310" s="28" t="s">
        <v>479</v>
      </c>
      <c r="D310" s="46" t="s">
        <v>152</v>
      </c>
      <c r="E310" s="8" t="s">
        <v>23</v>
      </c>
      <c r="F310" s="36">
        <f t="shared" si="31"/>
        <v>339.36309999999997</v>
      </c>
      <c r="G310" s="44">
        <v>0</v>
      </c>
      <c r="H310" s="44">
        <v>0</v>
      </c>
      <c r="I310" s="29">
        <v>339.36309999999997</v>
      </c>
      <c r="J310" s="44">
        <v>0</v>
      </c>
      <c r="K310" s="28" t="s">
        <v>281</v>
      </c>
    </row>
    <row r="311" spans="1:11" s="30" customFormat="1" ht="30" x14ac:dyDescent="0.25">
      <c r="A311" s="2">
        <v>16</v>
      </c>
      <c r="B311" s="163"/>
      <c r="C311" s="28" t="s">
        <v>480</v>
      </c>
      <c r="D311" s="46" t="s">
        <v>462</v>
      </c>
      <c r="E311" s="8" t="s">
        <v>23</v>
      </c>
      <c r="F311" s="36">
        <f t="shared" si="31"/>
        <v>44.55</v>
      </c>
      <c r="G311" s="44">
        <v>0</v>
      </c>
      <c r="H311" s="44">
        <v>0</v>
      </c>
      <c r="I311" s="29">
        <v>44.55</v>
      </c>
      <c r="J311" s="44">
        <v>0</v>
      </c>
      <c r="K311" s="28" t="s">
        <v>210</v>
      </c>
    </row>
    <row r="312" spans="1:11" s="34" customFormat="1" ht="30.75" customHeight="1" x14ac:dyDescent="0.25">
      <c r="A312" s="172" t="s">
        <v>481</v>
      </c>
      <c r="B312" s="172"/>
      <c r="C312" s="172"/>
      <c r="D312" s="20"/>
      <c r="E312" s="20"/>
      <c r="F312" s="33">
        <f>SUM(F296:F311)</f>
        <v>6804.98344</v>
      </c>
      <c r="G312" s="33">
        <f t="shared" ref="G312:J312" si="32">SUM(G296:G311)</f>
        <v>0</v>
      </c>
      <c r="H312" s="33">
        <f t="shared" si="32"/>
        <v>0</v>
      </c>
      <c r="I312" s="33">
        <f t="shared" si="32"/>
        <v>6804.98344</v>
      </c>
      <c r="J312" s="33">
        <f t="shared" si="32"/>
        <v>0</v>
      </c>
      <c r="K312" s="31"/>
    </row>
    <row r="313" spans="1:11" s="30" customFormat="1" ht="60" x14ac:dyDescent="0.25">
      <c r="A313" s="2">
        <v>1</v>
      </c>
      <c r="B313" s="161" t="s">
        <v>482</v>
      </c>
      <c r="C313" s="59" t="s">
        <v>483</v>
      </c>
      <c r="D313" s="10" t="s">
        <v>484</v>
      </c>
      <c r="E313" s="8" t="s">
        <v>23</v>
      </c>
      <c r="F313" s="44">
        <f>G313+H313+I313+J313</f>
        <v>6449.4</v>
      </c>
      <c r="G313" s="60">
        <v>0</v>
      </c>
      <c r="H313" s="60">
        <v>3224.7</v>
      </c>
      <c r="I313" s="60">
        <v>3224.7</v>
      </c>
      <c r="J313" s="60">
        <v>0</v>
      </c>
      <c r="K313" s="28" t="s">
        <v>418</v>
      </c>
    </row>
    <row r="314" spans="1:11" s="30" customFormat="1" ht="45" x14ac:dyDescent="0.25">
      <c r="A314" s="2">
        <v>4</v>
      </c>
      <c r="B314" s="162"/>
      <c r="C314" s="59" t="s">
        <v>485</v>
      </c>
      <c r="D314" s="10" t="s">
        <v>275</v>
      </c>
      <c r="E314" s="8" t="s">
        <v>23</v>
      </c>
      <c r="F314" s="44">
        <f t="shared" ref="F314:F377" si="33">G314+H314+I314+J314</f>
        <v>6312.1</v>
      </c>
      <c r="G314" s="60">
        <v>0</v>
      </c>
      <c r="H314" s="44">
        <v>6312.1</v>
      </c>
      <c r="I314" s="60">
        <v>0</v>
      </c>
      <c r="J314" s="60">
        <v>0</v>
      </c>
      <c r="K314" s="28" t="s">
        <v>54</v>
      </c>
    </row>
    <row r="315" spans="1:11" s="30" customFormat="1" ht="45" x14ac:dyDescent="0.25">
      <c r="A315" s="2">
        <v>5</v>
      </c>
      <c r="B315" s="162"/>
      <c r="C315" s="59" t="s">
        <v>486</v>
      </c>
      <c r="D315" s="10" t="s">
        <v>487</v>
      </c>
      <c r="E315" s="8" t="s">
        <v>23</v>
      </c>
      <c r="F315" s="44">
        <f t="shared" si="33"/>
        <v>1167.96</v>
      </c>
      <c r="G315" s="60">
        <v>0</v>
      </c>
      <c r="H315" s="60">
        <v>1167.96</v>
      </c>
      <c r="I315" s="60">
        <v>0</v>
      </c>
      <c r="J315" s="60">
        <v>0</v>
      </c>
      <c r="K315" s="28" t="s">
        <v>54</v>
      </c>
    </row>
    <row r="316" spans="1:11" s="30" customFormat="1" ht="83.45" customHeight="1" x14ac:dyDescent="0.25">
      <c r="A316" s="2">
        <v>6</v>
      </c>
      <c r="B316" s="162"/>
      <c r="C316" s="59" t="s">
        <v>488</v>
      </c>
      <c r="D316" s="159" t="s">
        <v>489</v>
      </c>
      <c r="E316" s="8" t="s">
        <v>23</v>
      </c>
      <c r="F316" s="44">
        <f t="shared" si="33"/>
        <v>3378.1</v>
      </c>
      <c r="G316" s="60">
        <v>0</v>
      </c>
      <c r="H316" s="44">
        <v>3378.1</v>
      </c>
      <c r="I316" s="60">
        <v>0</v>
      </c>
      <c r="J316" s="60">
        <v>0</v>
      </c>
      <c r="K316" s="28" t="s">
        <v>418</v>
      </c>
    </row>
    <row r="317" spans="1:11" s="30" customFormat="1" ht="150" x14ac:dyDescent="0.25">
      <c r="A317" s="2">
        <v>7</v>
      </c>
      <c r="B317" s="162"/>
      <c r="C317" s="59" t="s">
        <v>490</v>
      </c>
      <c r="D317" s="159" t="s">
        <v>491</v>
      </c>
      <c r="E317" s="8" t="s">
        <v>23</v>
      </c>
      <c r="F317" s="44">
        <f t="shared" si="33"/>
        <v>8810.44</v>
      </c>
      <c r="G317" s="60">
        <v>0</v>
      </c>
      <c r="H317" s="44">
        <v>8810.44</v>
      </c>
      <c r="I317" s="60">
        <v>0</v>
      </c>
      <c r="J317" s="60">
        <v>0</v>
      </c>
      <c r="K317" s="28" t="s">
        <v>418</v>
      </c>
    </row>
    <row r="318" spans="1:11" s="30" customFormat="1" ht="60" x14ac:dyDescent="0.25">
      <c r="A318" s="2">
        <v>8</v>
      </c>
      <c r="B318" s="162"/>
      <c r="C318" s="59" t="s">
        <v>492</v>
      </c>
      <c r="D318" s="10" t="s">
        <v>493</v>
      </c>
      <c r="E318" s="8" t="s">
        <v>26</v>
      </c>
      <c r="F318" s="44">
        <f t="shared" si="33"/>
        <v>8776.27</v>
      </c>
      <c r="G318" s="60">
        <v>0</v>
      </c>
      <c r="H318" s="44">
        <v>8776.27</v>
      </c>
      <c r="I318" s="60">
        <v>0</v>
      </c>
      <c r="J318" s="60">
        <v>0</v>
      </c>
      <c r="K318" s="28" t="s">
        <v>418</v>
      </c>
    </row>
    <row r="319" spans="1:11" s="30" customFormat="1" ht="135" x14ac:dyDescent="0.25">
      <c r="A319" s="2">
        <v>9</v>
      </c>
      <c r="B319" s="162"/>
      <c r="C319" s="59" t="s">
        <v>494</v>
      </c>
      <c r="D319" s="159" t="s">
        <v>495</v>
      </c>
      <c r="E319" s="8" t="s">
        <v>23</v>
      </c>
      <c r="F319" s="44">
        <f t="shared" si="33"/>
        <v>1832.21</v>
      </c>
      <c r="G319" s="60">
        <v>0</v>
      </c>
      <c r="H319" s="44">
        <v>1832.21</v>
      </c>
      <c r="I319" s="60">
        <v>0</v>
      </c>
      <c r="J319" s="60">
        <v>0</v>
      </c>
      <c r="K319" s="28" t="s">
        <v>418</v>
      </c>
    </row>
    <row r="320" spans="1:11" s="30" customFormat="1" ht="30" x14ac:dyDescent="0.25">
      <c r="A320" s="2">
        <v>10</v>
      </c>
      <c r="B320" s="162"/>
      <c r="C320" s="59" t="s">
        <v>496</v>
      </c>
      <c r="D320" s="10" t="s">
        <v>497</v>
      </c>
      <c r="E320" s="8" t="s">
        <v>23</v>
      </c>
      <c r="F320" s="44">
        <f t="shared" si="33"/>
        <v>432</v>
      </c>
      <c r="G320" s="60">
        <v>0</v>
      </c>
      <c r="H320" s="44">
        <v>432</v>
      </c>
      <c r="I320" s="60">
        <v>0</v>
      </c>
      <c r="J320" s="60">
        <v>0</v>
      </c>
      <c r="K320" s="28" t="s">
        <v>418</v>
      </c>
    </row>
    <row r="321" spans="1:11" s="30" customFormat="1" ht="75" x14ac:dyDescent="0.25">
      <c r="A321" s="2">
        <v>11</v>
      </c>
      <c r="B321" s="162"/>
      <c r="C321" s="59" t="s">
        <v>498</v>
      </c>
      <c r="D321" s="10" t="s">
        <v>499</v>
      </c>
      <c r="E321" s="8" t="s">
        <v>500</v>
      </c>
      <c r="F321" s="44">
        <f t="shared" si="33"/>
        <v>184.8</v>
      </c>
      <c r="G321" s="60">
        <v>0</v>
      </c>
      <c r="H321" s="44">
        <v>184.8</v>
      </c>
      <c r="I321" s="60">
        <v>0</v>
      </c>
      <c r="J321" s="60">
        <v>0</v>
      </c>
      <c r="K321" s="28" t="s">
        <v>418</v>
      </c>
    </row>
    <row r="322" spans="1:11" s="30" customFormat="1" ht="30" x14ac:dyDescent="0.25">
      <c r="A322" s="2">
        <v>12</v>
      </c>
      <c r="B322" s="162"/>
      <c r="C322" s="59" t="s">
        <v>501</v>
      </c>
      <c r="D322" s="10" t="s">
        <v>502</v>
      </c>
      <c r="E322" s="8" t="s">
        <v>23</v>
      </c>
      <c r="F322" s="44">
        <f t="shared" si="33"/>
        <v>1565.88</v>
      </c>
      <c r="G322" s="60">
        <v>0</v>
      </c>
      <c r="H322" s="60">
        <v>782.94</v>
      </c>
      <c r="I322" s="60">
        <v>782.94</v>
      </c>
      <c r="J322" s="60">
        <v>0</v>
      </c>
      <c r="K322" s="28" t="s">
        <v>418</v>
      </c>
    </row>
    <row r="323" spans="1:11" s="30" customFormat="1" ht="45" x14ac:dyDescent="0.25">
      <c r="A323" s="2">
        <v>13</v>
      </c>
      <c r="B323" s="162"/>
      <c r="C323" s="59" t="s">
        <v>503</v>
      </c>
      <c r="D323" s="10" t="s">
        <v>504</v>
      </c>
      <c r="E323" s="8" t="s">
        <v>23</v>
      </c>
      <c r="F323" s="44">
        <f t="shared" si="33"/>
        <v>264.5</v>
      </c>
      <c r="G323" s="60">
        <v>0</v>
      </c>
      <c r="H323" s="44">
        <v>264.5</v>
      </c>
      <c r="I323" s="60">
        <v>0</v>
      </c>
      <c r="J323" s="60">
        <v>0</v>
      </c>
      <c r="K323" s="28" t="s">
        <v>418</v>
      </c>
    </row>
    <row r="324" spans="1:11" s="30" customFormat="1" ht="30" x14ac:dyDescent="0.25">
      <c r="A324" s="2">
        <v>14</v>
      </c>
      <c r="B324" s="162"/>
      <c r="C324" s="59" t="s">
        <v>505</v>
      </c>
      <c r="D324" s="10" t="s">
        <v>506</v>
      </c>
      <c r="E324" s="8" t="s">
        <v>23</v>
      </c>
      <c r="F324" s="44">
        <f t="shared" si="33"/>
        <v>580.14</v>
      </c>
      <c r="G324" s="60">
        <v>0</v>
      </c>
      <c r="H324" s="44">
        <v>580.14</v>
      </c>
      <c r="I324" s="60">
        <v>0</v>
      </c>
      <c r="J324" s="60">
        <v>0</v>
      </c>
      <c r="K324" s="28" t="s">
        <v>418</v>
      </c>
    </row>
    <row r="325" spans="1:11" s="30" customFormat="1" ht="45" x14ac:dyDescent="0.25">
      <c r="A325" s="2">
        <v>15</v>
      </c>
      <c r="B325" s="162"/>
      <c r="C325" s="59" t="s">
        <v>507</v>
      </c>
      <c r="D325" s="10" t="s">
        <v>508</v>
      </c>
      <c r="E325" s="8" t="s">
        <v>23</v>
      </c>
      <c r="F325" s="44">
        <f t="shared" si="33"/>
        <v>282.89999999999998</v>
      </c>
      <c r="G325" s="60">
        <v>0</v>
      </c>
      <c r="H325" s="44">
        <v>282.89999999999998</v>
      </c>
      <c r="I325" s="60">
        <v>0</v>
      </c>
      <c r="J325" s="60">
        <v>0</v>
      </c>
      <c r="K325" s="28" t="s">
        <v>418</v>
      </c>
    </row>
    <row r="326" spans="1:11" s="30" customFormat="1" ht="45" x14ac:dyDescent="0.25">
      <c r="A326" s="2">
        <v>16</v>
      </c>
      <c r="B326" s="162"/>
      <c r="C326" s="59" t="s">
        <v>509</v>
      </c>
      <c r="D326" s="10" t="s">
        <v>510</v>
      </c>
      <c r="E326" s="8" t="s">
        <v>23</v>
      </c>
      <c r="F326" s="44">
        <f t="shared" si="33"/>
        <v>2304</v>
      </c>
      <c r="G326" s="60">
        <v>0</v>
      </c>
      <c r="H326" s="60">
        <v>2304</v>
      </c>
      <c r="I326" s="60">
        <v>0</v>
      </c>
      <c r="J326" s="60">
        <v>0</v>
      </c>
      <c r="K326" s="28" t="s">
        <v>418</v>
      </c>
    </row>
    <row r="327" spans="1:11" s="30" customFormat="1" ht="45" x14ac:dyDescent="0.25">
      <c r="A327" s="2">
        <v>17</v>
      </c>
      <c r="B327" s="163"/>
      <c r="C327" s="59" t="s">
        <v>511</v>
      </c>
      <c r="D327" s="10" t="s">
        <v>512</v>
      </c>
      <c r="E327" s="8" t="s">
        <v>23</v>
      </c>
      <c r="F327" s="44">
        <f t="shared" si="33"/>
        <v>181.81</v>
      </c>
      <c r="G327" s="60">
        <v>0</v>
      </c>
      <c r="H327" s="60">
        <v>137.41</v>
      </c>
      <c r="I327" s="60">
        <v>44.4</v>
      </c>
      <c r="J327" s="60">
        <v>0</v>
      </c>
      <c r="K327" s="28" t="s">
        <v>54</v>
      </c>
    </row>
    <row r="328" spans="1:11" s="34" customFormat="1" ht="26.45" customHeight="1" x14ac:dyDescent="0.25">
      <c r="A328" s="188" t="s">
        <v>1215</v>
      </c>
      <c r="B328" s="189"/>
      <c r="C328" s="190"/>
      <c r="D328" s="37"/>
      <c r="E328" s="37"/>
      <c r="F328" s="61">
        <f>SUM(F313:F327)</f>
        <v>42522.51</v>
      </c>
      <c r="G328" s="33">
        <f t="shared" ref="G328:J328" si="34">SUM(G313:G327)</f>
        <v>0</v>
      </c>
      <c r="H328" s="33">
        <f>SUM(H313:H327)</f>
        <v>38470.470000000008</v>
      </c>
      <c r="I328" s="33">
        <f t="shared" si="34"/>
        <v>4052.04</v>
      </c>
      <c r="J328" s="33">
        <f t="shared" si="34"/>
        <v>0</v>
      </c>
      <c r="K328" s="62"/>
    </row>
    <row r="329" spans="1:11" s="30" customFormat="1" ht="30" x14ac:dyDescent="0.25">
      <c r="A329" s="2">
        <v>1</v>
      </c>
      <c r="B329" s="161" t="s">
        <v>482</v>
      </c>
      <c r="C329" s="59" t="s">
        <v>513</v>
      </c>
      <c r="D329" s="10" t="s">
        <v>447</v>
      </c>
      <c r="E329" s="46" t="s">
        <v>23</v>
      </c>
      <c r="F329" s="44">
        <f t="shared" si="33"/>
        <v>12696.24</v>
      </c>
      <c r="G329" s="60">
        <v>0</v>
      </c>
      <c r="H329" s="60">
        <v>12696.24</v>
      </c>
      <c r="I329" s="60">
        <v>0</v>
      </c>
      <c r="J329" s="60">
        <v>0</v>
      </c>
      <c r="K329" s="28" t="s">
        <v>284</v>
      </c>
    </row>
    <row r="330" spans="1:11" s="30" customFormat="1" ht="30" x14ac:dyDescent="0.25">
      <c r="A330" s="2">
        <v>2</v>
      </c>
      <c r="B330" s="162"/>
      <c r="C330" s="59" t="s">
        <v>514</v>
      </c>
      <c r="D330" s="10" t="s">
        <v>515</v>
      </c>
      <c r="E330" s="46" t="s">
        <v>23</v>
      </c>
      <c r="F330" s="44">
        <f t="shared" si="33"/>
        <v>3782.22</v>
      </c>
      <c r="G330" s="60">
        <v>0</v>
      </c>
      <c r="H330" s="60">
        <v>3782.22</v>
      </c>
      <c r="I330" s="60">
        <v>0</v>
      </c>
      <c r="J330" s="60">
        <v>0</v>
      </c>
      <c r="K330" s="28" t="s">
        <v>284</v>
      </c>
    </row>
    <row r="331" spans="1:11" s="30" customFormat="1" ht="30" x14ac:dyDescent="0.25">
      <c r="A331" s="2">
        <v>3</v>
      </c>
      <c r="B331" s="162"/>
      <c r="C331" s="59" t="s">
        <v>516</v>
      </c>
      <c r="D331" s="10" t="s">
        <v>449</v>
      </c>
      <c r="E331" s="46" t="s">
        <v>23</v>
      </c>
      <c r="F331" s="44">
        <f t="shared" si="33"/>
        <v>112.33</v>
      </c>
      <c r="G331" s="60">
        <v>0</v>
      </c>
      <c r="H331" s="60">
        <v>112.33</v>
      </c>
      <c r="I331" s="60">
        <v>0</v>
      </c>
      <c r="J331" s="60">
        <v>0</v>
      </c>
      <c r="K331" s="28" t="s">
        <v>284</v>
      </c>
    </row>
    <row r="332" spans="1:11" s="30" customFormat="1" ht="30" x14ac:dyDescent="0.25">
      <c r="A332" s="2">
        <v>4</v>
      </c>
      <c r="B332" s="162"/>
      <c r="C332" s="59" t="s">
        <v>517</v>
      </c>
      <c r="D332" s="10" t="s">
        <v>518</v>
      </c>
      <c r="E332" s="46" t="s">
        <v>23</v>
      </c>
      <c r="F332" s="44">
        <f t="shared" si="33"/>
        <v>10000</v>
      </c>
      <c r="G332" s="60">
        <v>0</v>
      </c>
      <c r="H332" s="60">
        <v>10000</v>
      </c>
      <c r="I332" s="60">
        <v>0</v>
      </c>
      <c r="J332" s="60">
        <v>0</v>
      </c>
      <c r="K332" s="28" t="s">
        <v>284</v>
      </c>
    </row>
    <row r="333" spans="1:11" s="30" customFormat="1" ht="30" x14ac:dyDescent="0.25">
      <c r="A333" s="2">
        <v>5</v>
      </c>
      <c r="B333" s="162"/>
      <c r="C333" s="59" t="s">
        <v>519</v>
      </c>
      <c r="D333" s="10" t="s">
        <v>132</v>
      </c>
      <c r="E333" s="46" t="s">
        <v>23</v>
      </c>
      <c r="F333" s="44">
        <f t="shared" si="33"/>
        <v>4392</v>
      </c>
      <c r="G333" s="60">
        <v>0</v>
      </c>
      <c r="H333" s="60">
        <v>0</v>
      </c>
      <c r="I333" s="60">
        <v>4392</v>
      </c>
      <c r="J333" s="60">
        <v>0</v>
      </c>
      <c r="K333" s="28" t="s">
        <v>75</v>
      </c>
    </row>
    <row r="334" spans="1:11" s="30" customFormat="1" ht="30" x14ac:dyDescent="0.25">
      <c r="A334" s="2">
        <v>6</v>
      </c>
      <c r="B334" s="162"/>
      <c r="C334" s="59" t="s">
        <v>520</v>
      </c>
      <c r="D334" s="10" t="s">
        <v>521</v>
      </c>
      <c r="E334" s="46" t="s">
        <v>23</v>
      </c>
      <c r="F334" s="44">
        <f t="shared" si="33"/>
        <v>190.8</v>
      </c>
      <c r="G334" s="60">
        <v>0</v>
      </c>
      <c r="H334" s="60">
        <v>190.8</v>
      </c>
      <c r="I334" s="60">
        <v>0</v>
      </c>
      <c r="J334" s="60">
        <v>0</v>
      </c>
      <c r="K334" s="28" t="s">
        <v>284</v>
      </c>
    </row>
    <row r="335" spans="1:11" s="30" customFormat="1" ht="60" x14ac:dyDescent="0.25">
      <c r="A335" s="2">
        <v>7</v>
      </c>
      <c r="B335" s="162"/>
      <c r="C335" s="59" t="s">
        <v>522</v>
      </c>
      <c r="D335" s="10" t="s">
        <v>523</v>
      </c>
      <c r="E335" s="46" t="s">
        <v>23</v>
      </c>
      <c r="F335" s="44">
        <f t="shared" si="33"/>
        <v>1500</v>
      </c>
      <c r="G335" s="60">
        <v>0</v>
      </c>
      <c r="H335" s="60">
        <v>0</v>
      </c>
      <c r="I335" s="60">
        <v>1500</v>
      </c>
      <c r="J335" s="60">
        <v>0</v>
      </c>
      <c r="K335" s="28" t="s">
        <v>75</v>
      </c>
    </row>
    <row r="336" spans="1:11" s="30" customFormat="1" ht="45" x14ac:dyDescent="0.25">
      <c r="A336" s="2">
        <v>8</v>
      </c>
      <c r="B336" s="162"/>
      <c r="C336" s="59" t="s">
        <v>524</v>
      </c>
      <c r="D336" s="10" t="s">
        <v>525</v>
      </c>
      <c r="E336" s="46" t="s">
        <v>23</v>
      </c>
      <c r="F336" s="44">
        <f t="shared" si="33"/>
        <v>1793.99</v>
      </c>
      <c r="G336" s="60">
        <v>0</v>
      </c>
      <c r="H336" s="60">
        <v>0</v>
      </c>
      <c r="I336" s="60">
        <v>1793.99</v>
      </c>
      <c r="J336" s="60">
        <v>0</v>
      </c>
      <c r="K336" s="28" t="s">
        <v>75</v>
      </c>
    </row>
    <row r="337" spans="1:11" s="30" customFormat="1" ht="39" customHeight="1" x14ac:dyDescent="0.25">
      <c r="A337" s="2">
        <v>9</v>
      </c>
      <c r="B337" s="162"/>
      <c r="C337" s="59" t="s">
        <v>526</v>
      </c>
      <c r="D337" s="10" t="s">
        <v>527</v>
      </c>
      <c r="E337" s="46" t="s">
        <v>23</v>
      </c>
      <c r="F337" s="44">
        <f t="shared" si="33"/>
        <v>789.24</v>
      </c>
      <c r="G337" s="29">
        <v>0</v>
      </c>
      <c r="H337" s="29">
        <v>0</v>
      </c>
      <c r="I337" s="29">
        <v>789.24</v>
      </c>
      <c r="J337" s="29">
        <v>0</v>
      </c>
      <c r="K337" s="28" t="s">
        <v>75</v>
      </c>
    </row>
    <row r="338" spans="1:11" s="30" customFormat="1" ht="30" x14ac:dyDescent="0.25">
      <c r="A338" s="2">
        <v>10</v>
      </c>
      <c r="B338" s="162"/>
      <c r="C338" s="59" t="s">
        <v>528</v>
      </c>
      <c r="D338" s="10" t="s">
        <v>529</v>
      </c>
      <c r="E338" s="46" t="s">
        <v>23</v>
      </c>
      <c r="F338" s="44">
        <f t="shared" si="33"/>
        <v>274.39999999999998</v>
      </c>
      <c r="G338" s="60">
        <v>0</v>
      </c>
      <c r="H338" s="60">
        <v>0</v>
      </c>
      <c r="I338" s="60">
        <v>274.39999999999998</v>
      </c>
      <c r="J338" s="60">
        <v>0</v>
      </c>
      <c r="K338" s="28" t="s">
        <v>75</v>
      </c>
    </row>
    <row r="339" spans="1:11" s="30" customFormat="1" ht="30" x14ac:dyDescent="0.25">
      <c r="A339" s="2">
        <v>11</v>
      </c>
      <c r="B339" s="162"/>
      <c r="C339" s="59" t="s">
        <v>530</v>
      </c>
      <c r="D339" s="10" t="s">
        <v>531</v>
      </c>
      <c r="E339" s="46" t="s">
        <v>23</v>
      </c>
      <c r="F339" s="44">
        <f t="shared" si="33"/>
        <v>1673.9</v>
      </c>
      <c r="G339" s="60">
        <v>0</v>
      </c>
      <c r="H339" s="60">
        <v>0</v>
      </c>
      <c r="I339" s="60">
        <v>1673.9</v>
      </c>
      <c r="J339" s="60">
        <v>0</v>
      </c>
      <c r="K339" s="28" t="s">
        <v>75</v>
      </c>
    </row>
    <row r="340" spans="1:11" s="30" customFormat="1" ht="45" x14ac:dyDescent="0.25">
      <c r="A340" s="2">
        <v>12</v>
      </c>
      <c r="B340" s="162"/>
      <c r="C340" s="59" t="s">
        <v>532</v>
      </c>
      <c r="D340" s="10" t="s">
        <v>533</v>
      </c>
      <c r="E340" s="46" t="s">
        <v>23</v>
      </c>
      <c r="F340" s="44">
        <f t="shared" si="33"/>
        <v>8487.4</v>
      </c>
      <c r="G340" s="60">
        <v>0</v>
      </c>
      <c r="H340" s="60">
        <v>0</v>
      </c>
      <c r="I340" s="60">
        <v>8487.4</v>
      </c>
      <c r="J340" s="60">
        <v>0</v>
      </c>
      <c r="K340" s="28" t="s">
        <v>75</v>
      </c>
    </row>
    <row r="341" spans="1:11" s="30" customFormat="1" ht="30" x14ac:dyDescent="0.25">
      <c r="A341" s="2">
        <v>13</v>
      </c>
      <c r="B341" s="162"/>
      <c r="C341" s="59" t="s">
        <v>534</v>
      </c>
      <c r="D341" s="10" t="s">
        <v>535</v>
      </c>
      <c r="E341" s="46" t="s">
        <v>23</v>
      </c>
      <c r="F341" s="44">
        <f t="shared" si="33"/>
        <v>1278.21</v>
      </c>
      <c r="G341" s="60">
        <v>0</v>
      </c>
      <c r="H341" s="60">
        <v>0</v>
      </c>
      <c r="I341" s="60">
        <v>1278.21</v>
      </c>
      <c r="J341" s="60">
        <v>0</v>
      </c>
      <c r="K341" s="28" t="s">
        <v>75</v>
      </c>
    </row>
    <row r="342" spans="1:11" s="30" customFormat="1" ht="45" x14ac:dyDescent="0.25">
      <c r="A342" s="2">
        <v>14</v>
      </c>
      <c r="B342" s="162"/>
      <c r="C342" s="59" t="s">
        <v>536</v>
      </c>
      <c r="D342" s="10" t="s">
        <v>537</v>
      </c>
      <c r="E342" s="46" t="s">
        <v>23</v>
      </c>
      <c r="F342" s="44">
        <f t="shared" si="33"/>
        <v>5544.5</v>
      </c>
      <c r="G342" s="60">
        <v>0</v>
      </c>
      <c r="H342" s="60">
        <v>0</v>
      </c>
      <c r="I342" s="60">
        <v>5544.5</v>
      </c>
      <c r="J342" s="60">
        <v>0</v>
      </c>
      <c r="K342" s="28" t="s">
        <v>75</v>
      </c>
    </row>
    <row r="343" spans="1:11" s="30" customFormat="1" ht="30" x14ac:dyDescent="0.25">
      <c r="A343" s="2">
        <v>15</v>
      </c>
      <c r="B343" s="162"/>
      <c r="C343" s="59" t="s">
        <v>538</v>
      </c>
      <c r="D343" s="10" t="s">
        <v>341</v>
      </c>
      <c r="E343" s="46" t="s">
        <v>23</v>
      </c>
      <c r="F343" s="44">
        <f t="shared" si="33"/>
        <v>1827.83</v>
      </c>
      <c r="G343" s="60">
        <v>0</v>
      </c>
      <c r="H343" s="60">
        <v>0</v>
      </c>
      <c r="I343" s="36">
        <v>1827.83</v>
      </c>
      <c r="J343" s="60">
        <v>0</v>
      </c>
      <c r="K343" s="28" t="s">
        <v>75</v>
      </c>
    </row>
    <row r="344" spans="1:11" s="30" customFormat="1" ht="45" x14ac:dyDescent="0.25">
      <c r="A344" s="2">
        <v>16</v>
      </c>
      <c r="B344" s="162"/>
      <c r="C344" s="59" t="s">
        <v>539</v>
      </c>
      <c r="D344" s="10" t="s">
        <v>275</v>
      </c>
      <c r="E344" s="46" t="s">
        <v>23</v>
      </c>
      <c r="F344" s="44">
        <f t="shared" si="33"/>
        <v>6312.1</v>
      </c>
      <c r="G344" s="60">
        <v>0</v>
      </c>
      <c r="H344" s="60">
        <v>0</v>
      </c>
      <c r="I344" s="60">
        <v>6312.1</v>
      </c>
      <c r="J344" s="60">
        <v>0</v>
      </c>
      <c r="K344" s="28" t="s">
        <v>75</v>
      </c>
    </row>
    <row r="345" spans="1:11" s="30" customFormat="1" ht="45" x14ac:dyDescent="0.25">
      <c r="A345" s="2">
        <v>17</v>
      </c>
      <c r="B345" s="162"/>
      <c r="C345" s="59" t="s">
        <v>540</v>
      </c>
      <c r="D345" s="10" t="s">
        <v>541</v>
      </c>
      <c r="E345" s="46" t="s">
        <v>23</v>
      </c>
      <c r="F345" s="44">
        <f t="shared" si="33"/>
        <v>1229.25</v>
      </c>
      <c r="G345" s="60">
        <v>0</v>
      </c>
      <c r="H345" s="60">
        <v>1229.25</v>
      </c>
      <c r="I345" s="60">
        <v>0</v>
      </c>
      <c r="J345" s="60">
        <v>0</v>
      </c>
      <c r="K345" s="28" t="s">
        <v>284</v>
      </c>
    </row>
    <row r="346" spans="1:11" s="30" customFormat="1" ht="45" x14ac:dyDescent="0.25">
      <c r="A346" s="2">
        <v>18</v>
      </c>
      <c r="B346" s="162"/>
      <c r="C346" s="59" t="s">
        <v>542</v>
      </c>
      <c r="D346" s="10" t="s">
        <v>543</v>
      </c>
      <c r="E346" s="46" t="s">
        <v>23</v>
      </c>
      <c r="F346" s="44">
        <f t="shared" si="33"/>
        <v>5307.22</v>
      </c>
      <c r="G346" s="60">
        <v>0</v>
      </c>
      <c r="H346" s="60">
        <v>5307.22</v>
      </c>
      <c r="I346" s="60">
        <v>0</v>
      </c>
      <c r="J346" s="60">
        <v>0</v>
      </c>
      <c r="K346" s="28" t="s">
        <v>284</v>
      </c>
    </row>
    <row r="347" spans="1:11" s="30" customFormat="1" ht="45" x14ac:dyDescent="0.25">
      <c r="A347" s="2">
        <v>19</v>
      </c>
      <c r="B347" s="162"/>
      <c r="C347" s="59" t="s">
        <v>544</v>
      </c>
      <c r="D347" s="10" t="s">
        <v>545</v>
      </c>
      <c r="E347" s="46" t="s">
        <v>23</v>
      </c>
      <c r="F347" s="44">
        <f t="shared" si="33"/>
        <v>1288</v>
      </c>
      <c r="G347" s="60">
        <v>0</v>
      </c>
      <c r="H347" s="60">
        <v>1288</v>
      </c>
      <c r="I347" s="60">
        <v>0</v>
      </c>
      <c r="J347" s="60">
        <v>0</v>
      </c>
      <c r="K347" s="28" t="s">
        <v>284</v>
      </c>
    </row>
    <row r="348" spans="1:11" s="30" customFormat="1" ht="30" x14ac:dyDescent="0.25">
      <c r="A348" s="2">
        <v>20</v>
      </c>
      <c r="B348" s="162"/>
      <c r="C348" s="59" t="s">
        <v>546</v>
      </c>
      <c r="D348" s="10" t="s">
        <v>547</v>
      </c>
      <c r="E348" s="46" t="s">
        <v>23</v>
      </c>
      <c r="F348" s="44">
        <f t="shared" si="33"/>
        <v>177.75</v>
      </c>
      <c r="G348" s="60">
        <v>0</v>
      </c>
      <c r="H348" s="60">
        <v>177.75</v>
      </c>
      <c r="I348" s="60">
        <v>0</v>
      </c>
      <c r="J348" s="60">
        <v>0</v>
      </c>
      <c r="K348" s="28" t="s">
        <v>284</v>
      </c>
    </row>
    <row r="349" spans="1:11" s="30" customFormat="1" ht="45" x14ac:dyDescent="0.25">
      <c r="A349" s="2">
        <v>21</v>
      </c>
      <c r="B349" s="162"/>
      <c r="C349" s="59" t="s">
        <v>548</v>
      </c>
      <c r="D349" s="10" t="s">
        <v>549</v>
      </c>
      <c r="E349" s="46" t="s">
        <v>23</v>
      </c>
      <c r="F349" s="44">
        <f t="shared" si="33"/>
        <v>241.99</v>
      </c>
      <c r="G349" s="60">
        <v>0</v>
      </c>
      <c r="H349" s="60">
        <v>241.99</v>
      </c>
      <c r="I349" s="60">
        <v>0</v>
      </c>
      <c r="J349" s="60">
        <v>0</v>
      </c>
      <c r="K349" s="28" t="s">
        <v>284</v>
      </c>
    </row>
    <row r="350" spans="1:11" s="30" customFormat="1" ht="30" x14ac:dyDescent="0.25">
      <c r="A350" s="2">
        <v>22</v>
      </c>
      <c r="B350" s="162"/>
      <c r="C350" s="59" t="s">
        <v>550</v>
      </c>
      <c r="D350" s="10" t="s">
        <v>551</v>
      </c>
      <c r="E350" s="46" t="s">
        <v>23</v>
      </c>
      <c r="F350" s="44">
        <f t="shared" si="33"/>
        <v>608.96</v>
      </c>
      <c r="G350" s="60">
        <v>0</v>
      </c>
      <c r="H350" s="60">
        <v>608.96</v>
      </c>
      <c r="I350" s="60">
        <v>0</v>
      </c>
      <c r="J350" s="60">
        <v>0</v>
      </c>
      <c r="K350" s="28" t="s">
        <v>284</v>
      </c>
    </row>
    <row r="351" spans="1:11" s="30" customFormat="1" ht="30" x14ac:dyDescent="0.25">
      <c r="A351" s="2">
        <v>23</v>
      </c>
      <c r="B351" s="162"/>
      <c r="C351" s="59" t="s">
        <v>552</v>
      </c>
      <c r="D351" s="10" t="s">
        <v>553</v>
      </c>
      <c r="E351" s="46" t="s">
        <v>23</v>
      </c>
      <c r="F351" s="44">
        <f t="shared" si="33"/>
        <v>89.25</v>
      </c>
      <c r="G351" s="60">
        <v>0</v>
      </c>
      <c r="H351" s="60">
        <v>89.25</v>
      </c>
      <c r="I351" s="60">
        <v>0</v>
      </c>
      <c r="J351" s="60">
        <v>0</v>
      </c>
      <c r="K351" s="28" t="s">
        <v>284</v>
      </c>
    </row>
    <row r="352" spans="1:11" s="30" customFormat="1" ht="45" x14ac:dyDescent="0.25">
      <c r="A352" s="2">
        <v>24</v>
      </c>
      <c r="B352" s="162"/>
      <c r="C352" s="59" t="s">
        <v>554</v>
      </c>
      <c r="D352" s="10" t="s">
        <v>555</v>
      </c>
      <c r="E352" s="46" t="s">
        <v>23</v>
      </c>
      <c r="F352" s="44">
        <f t="shared" si="33"/>
        <v>269.67</v>
      </c>
      <c r="G352" s="60">
        <v>0</v>
      </c>
      <c r="H352" s="60">
        <v>269.67</v>
      </c>
      <c r="I352" s="60">
        <v>0</v>
      </c>
      <c r="J352" s="60">
        <v>0</v>
      </c>
      <c r="K352" s="28" t="s">
        <v>284</v>
      </c>
    </row>
    <row r="353" spans="1:11" s="30" customFormat="1" ht="60" x14ac:dyDescent="0.25">
      <c r="A353" s="2">
        <v>25</v>
      </c>
      <c r="B353" s="162"/>
      <c r="C353" s="59" t="s">
        <v>556</v>
      </c>
      <c r="D353" s="10" t="s">
        <v>557</v>
      </c>
      <c r="E353" s="46" t="s">
        <v>23</v>
      </c>
      <c r="F353" s="44">
        <f t="shared" si="33"/>
        <v>118.33</v>
      </c>
      <c r="G353" s="60">
        <v>0</v>
      </c>
      <c r="H353" s="60">
        <v>118.33</v>
      </c>
      <c r="I353" s="60">
        <v>0</v>
      </c>
      <c r="J353" s="60">
        <v>0</v>
      </c>
      <c r="K353" s="28" t="s">
        <v>284</v>
      </c>
    </row>
    <row r="354" spans="1:11" s="30" customFormat="1" ht="75" x14ac:dyDescent="0.25">
      <c r="A354" s="2">
        <v>26</v>
      </c>
      <c r="B354" s="162"/>
      <c r="C354" s="59" t="s">
        <v>558</v>
      </c>
      <c r="D354" s="10" t="s">
        <v>559</v>
      </c>
      <c r="E354" s="46" t="s">
        <v>23</v>
      </c>
      <c r="F354" s="44">
        <f t="shared" si="33"/>
        <v>781.28</v>
      </c>
      <c r="G354" s="60">
        <v>0</v>
      </c>
      <c r="H354" s="60">
        <v>781.28</v>
      </c>
      <c r="I354" s="60">
        <v>0</v>
      </c>
      <c r="J354" s="60">
        <v>0</v>
      </c>
      <c r="K354" s="28" t="s">
        <v>284</v>
      </c>
    </row>
    <row r="355" spans="1:11" s="30" customFormat="1" ht="45" x14ac:dyDescent="0.25">
      <c r="A355" s="2">
        <v>27</v>
      </c>
      <c r="B355" s="162"/>
      <c r="C355" s="59" t="s">
        <v>560</v>
      </c>
      <c r="D355" s="10" t="s">
        <v>561</v>
      </c>
      <c r="E355" s="46" t="s">
        <v>23</v>
      </c>
      <c r="F355" s="44">
        <f t="shared" si="33"/>
        <v>201.12</v>
      </c>
      <c r="G355" s="60">
        <v>0</v>
      </c>
      <c r="H355" s="60">
        <v>201.12</v>
      </c>
      <c r="I355" s="60">
        <v>0</v>
      </c>
      <c r="J355" s="60">
        <v>0</v>
      </c>
      <c r="K355" s="28" t="s">
        <v>284</v>
      </c>
    </row>
    <row r="356" spans="1:11" s="30" customFormat="1" ht="45" x14ac:dyDescent="0.25">
      <c r="A356" s="2">
        <v>28</v>
      </c>
      <c r="B356" s="162"/>
      <c r="C356" s="59" t="s">
        <v>562</v>
      </c>
      <c r="D356" s="10" t="s">
        <v>563</v>
      </c>
      <c r="E356" s="46" t="s">
        <v>23</v>
      </c>
      <c r="F356" s="44">
        <f t="shared" si="33"/>
        <v>457.08</v>
      </c>
      <c r="G356" s="60">
        <v>0</v>
      </c>
      <c r="H356" s="60">
        <v>457.08</v>
      </c>
      <c r="I356" s="60">
        <v>0</v>
      </c>
      <c r="J356" s="60">
        <v>0</v>
      </c>
      <c r="K356" s="28" t="s">
        <v>284</v>
      </c>
    </row>
    <row r="357" spans="1:11" s="30" customFormat="1" ht="30" x14ac:dyDescent="0.25">
      <c r="A357" s="2">
        <v>29</v>
      </c>
      <c r="B357" s="162"/>
      <c r="C357" s="59" t="s">
        <v>564</v>
      </c>
      <c r="D357" s="10" t="s">
        <v>565</v>
      </c>
      <c r="E357" s="46" t="s">
        <v>23</v>
      </c>
      <c r="F357" s="44">
        <f t="shared" si="33"/>
        <v>1115.71</v>
      </c>
      <c r="G357" s="60">
        <v>0</v>
      </c>
      <c r="H357" s="60">
        <v>0</v>
      </c>
      <c r="I357" s="60">
        <v>1115.71</v>
      </c>
      <c r="J357" s="60">
        <v>0</v>
      </c>
      <c r="K357" s="28" t="s">
        <v>75</v>
      </c>
    </row>
    <row r="358" spans="1:11" s="30" customFormat="1" ht="60" x14ac:dyDescent="0.25">
      <c r="A358" s="2">
        <v>30</v>
      </c>
      <c r="B358" s="162"/>
      <c r="C358" s="59" t="s">
        <v>566</v>
      </c>
      <c r="D358" s="10" t="s">
        <v>567</v>
      </c>
      <c r="E358" s="46" t="s">
        <v>23</v>
      </c>
      <c r="F358" s="44">
        <f t="shared" si="33"/>
        <v>1296</v>
      </c>
      <c r="G358" s="60">
        <v>0</v>
      </c>
      <c r="H358" s="60">
        <v>1296</v>
      </c>
      <c r="I358" s="60">
        <v>0</v>
      </c>
      <c r="J358" s="60">
        <v>0</v>
      </c>
      <c r="K358" s="28" t="s">
        <v>284</v>
      </c>
    </row>
    <row r="359" spans="1:11" s="30" customFormat="1" ht="45" x14ac:dyDescent="0.25">
      <c r="A359" s="2">
        <v>31</v>
      </c>
      <c r="B359" s="162"/>
      <c r="C359" s="59" t="s">
        <v>568</v>
      </c>
      <c r="D359" s="10" t="s">
        <v>569</v>
      </c>
      <c r="E359" s="46" t="s">
        <v>23</v>
      </c>
      <c r="F359" s="44">
        <f t="shared" si="33"/>
        <v>566</v>
      </c>
      <c r="G359" s="60">
        <v>0</v>
      </c>
      <c r="H359" s="60">
        <v>566</v>
      </c>
      <c r="I359" s="60">
        <v>0</v>
      </c>
      <c r="J359" s="60">
        <v>0</v>
      </c>
      <c r="K359" s="28" t="s">
        <v>284</v>
      </c>
    </row>
    <row r="360" spans="1:11" s="30" customFormat="1" ht="60" x14ac:dyDescent="0.25">
      <c r="A360" s="2">
        <v>32</v>
      </c>
      <c r="B360" s="162"/>
      <c r="C360" s="59" t="s">
        <v>570</v>
      </c>
      <c r="D360" s="10" t="s">
        <v>571</v>
      </c>
      <c r="E360" s="46" t="s">
        <v>23</v>
      </c>
      <c r="F360" s="44">
        <f t="shared" si="33"/>
        <v>11070.3</v>
      </c>
      <c r="G360" s="60">
        <v>0</v>
      </c>
      <c r="H360" s="60">
        <v>11070.3</v>
      </c>
      <c r="I360" s="60">
        <v>0</v>
      </c>
      <c r="J360" s="60">
        <v>0</v>
      </c>
      <c r="K360" s="28" t="s">
        <v>284</v>
      </c>
    </row>
    <row r="361" spans="1:11" s="30" customFormat="1" ht="60" x14ac:dyDescent="0.25">
      <c r="A361" s="2">
        <v>33</v>
      </c>
      <c r="B361" s="162"/>
      <c r="C361" s="59" t="s">
        <v>572</v>
      </c>
      <c r="D361" s="10" t="s">
        <v>571</v>
      </c>
      <c r="E361" s="46" t="s">
        <v>23</v>
      </c>
      <c r="F361" s="44">
        <f t="shared" si="33"/>
        <v>19354.580000000002</v>
      </c>
      <c r="G361" s="60">
        <v>0</v>
      </c>
      <c r="H361" s="60">
        <v>19354.580000000002</v>
      </c>
      <c r="I361" s="60">
        <v>0</v>
      </c>
      <c r="J361" s="60">
        <v>0</v>
      </c>
      <c r="K361" s="28" t="s">
        <v>284</v>
      </c>
    </row>
    <row r="362" spans="1:11" s="30" customFormat="1" ht="105" x14ac:dyDescent="0.25">
      <c r="A362" s="2">
        <v>34</v>
      </c>
      <c r="B362" s="162"/>
      <c r="C362" s="59" t="s">
        <v>573</v>
      </c>
      <c r="D362" s="159" t="s">
        <v>489</v>
      </c>
      <c r="E362" s="46" t="s">
        <v>23</v>
      </c>
      <c r="F362" s="44">
        <f t="shared" si="33"/>
        <v>3378.1</v>
      </c>
      <c r="G362" s="60">
        <v>0</v>
      </c>
      <c r="H362" s="60">
        <v>0</v>
      </c>
      <c r="I362" s="60">
        <v>3378.1</v>
      </c>
      <c r="J362" s="60">
        <v>0</v>
      </c>
      <c r="K362" s="28" t="s">
        <v>75</v>
      </c>
    </row>
    <row r="363" spans="1:11" s="30" customFormat="1" ht="150" x14ac:dyDescent="0.25">
      <c r="A363" s="2">
        <v>35</v>
      </c>
      <c r="B363" s="162"/>
      <c r="C363" s="59" t="s">
        <v>574</v>
      </c>
      <c r="D363" s="159" t="s">
        <v>491</v>
      </c>
      <c r="E363" s="46" t="s">
        <v>23</v>
      </c>
      <c r="F363" s="44">
        <f t="shared" si="33"/>
        <v>8810.44</v>
      </c>
      <c r="G363" s="60">
        <v>0</v>
      </c>
      <c r="H363" s="60">
        <v>0</v>
      </c>
      <c r="I363" s="60">
        <v>8810.44</v>
      </c>
      <c r="J363" s="60">
        <v>0</v>
      </c>
      <c r="K363" s="28" t="s">
        <v>75</v>
      </c>
    </row>
    <row r="364" spans="1:11" s="30" customFormat="1" ht="60" x14ac:dyDescent="0.25">
      <c r="A364" s="2">
        <v>36</v>
      </c>
      <c r="B364" s="162"/>
      <c r="C364" s="59" t="s">
        <v>575</v>
      </c>
      <c r="D364" s="10" t="s">
        <v>493</v>
      </c>
      <c r="E364" s="46" t="s">
        <v>26</v>
      </c>
      <c r="F364" s="44">
        <f t="shared" si="33"/>
        <v>8776.27</v>
      </c>
      <c r="G364" s="60">
        <v>0</v>
      </c>
      <c r="H364" s="60">
        <v>0</v>
      </c>
      <c r="I364" s="60">
        <v>8776.27</v>
      </c>
      <c r="J364" s="60">
        <v>0</v>
      </c>
      <c r="K364" s="28" t="s">
        <v>75</v>
      </c>
    </row>
    <row r="365" spans="1:11" s="30" customFormat="1" ht="135" x14ac:dyDescent="0.25">
      <c r="A365" s="2">
        <v>37</v>
      </c>
      <c r="B365" s="162"/>
      <c r="C365" s="59" t="s">
        <v>576</v>
      </c>
      <c r="D365" s="159" t="s">
        <v>577</v>
      </c>
      <c r="E365" s="46" t="s">
        <v>23</v>
      </c>
      <c r="F365" s="44">
        <f t="shared" si="33"/>
        <v>1832.21</v>
      </c>
      <c r="G365" s="60">
        <v>0</v>
      </c>
      <c r="H365" s="60">
        <v>0</v>
      </c>
      <c r="I365" s="60">
        <v>1832.21</v>
      </c>
      <c r="J365" s="60">
        <v>0</v>
      </c>
      <c r="K365" s="28" t="s">
        <v>75</v>
      </c>
    </row>
    <row r="366" spans="1:11" s="30" customFormat="1" ht="30" x14ac:dyDescent="0.25">
      <c r="A366" s="2">
        <v>38</v>
      </c>
      <c r="B366" s="162"/>
      <c r="C366" s="59" t="s">
        <v>578</v>
      </c>
      <c r="D366" s="10" t="s">
        <v>497</v>
      </c>
      <c r="E366" s="46" t="s">
        <v>23</v>
      </c>
      <c r="F366" s="44">
        <f t="shared" si="33"/>
        <v>432</v>
      </c>
      <c r="G366" s="60">
        <v>0</v>
      </c>
      <c r="H366" s="60">
        <v>0</v>
      </c>
      <c r="I366" s="60">
        <v>432</v>
      </c>
      <c r="J366" s="60">
        <v>0</v>
      </c>
      <c r="K366" s="28" t="s">
        <v>75</v>
      </c>
    </row>
    <row r="367" spans="1:11" s="30" customFormat="1" ht="75" x14ac:dyDescent="0.25">
      <c r="A367" s="2">
        <v>39</v>
      </c>
      <c r="B367" s="162"/>
      <c r="C367" s="59" t="s">
        <v>579</v>
      </c>
      <c r="D367" s="10" t="s">
        <v>499</v>
      </c>
      <c r="E367" s="46" t="s">
        <v>23</v>
      </c>
      <c r="F367" s="44">
        <f t="shared" si="33"/>
        <v>184.8</v>
      </c>
      <c r="G367" s="60">
        <v>0</v>
      </c>
      <c r="H367" s="60">
        <v>0</v>
      </c>
      <c r="I367" s="60">
        <v>184.8</v>
      </c>
      <c r="J367" s="60">
        <v>0</v>
      </c>
      <c r="K367" s="28" t="s">
        <v>75</v>
      </c>
    </row>
    <row r="368" spans="1:11" s="30" customFormat="1" ht="45" x14ac:dyDescent="0.25">
      <c r="A368" s="2">
        <v>40</v>
      </c>
      <c r="B368" s="162"/>
      <c r="C368" s="59" t="s">
        <v>580</v>
      </c>
      <c r="D368" s="10" t="s">
        <v>504</v>
      </c>
      <c r="E368" s="46" t="s">
        <v>23</v>
      </c>
      <c r="F368" s="44">
        <f t="shared" si="33"/>
        <v>264.5</v>
      </c>
      <c r="G368" s="60">
        <v>0</v>
      </c>
      <c r="H368" s="60">
        <v>0</v>
      </c>
      <c r="I368" s="60">
        <v>264.5</v>
      </c>
      <c r="J368" s="60">
        <v>0</v>
      </c>
      <c r="K368" s="28" t="s">
        <v>75</v>
      </c>
    </row>
    <row r="369" spans="1:11" s="30" customFormat="1" ht="90" x14ac:dyDescent="0.25">
      <c r="A369" s="2">
        <v>41</v>
      </c>
      <c r="B369" s="162"/>
      <c r="C369" s="59" t="s">
        <v>581</v>
      </c>
      <c r="D369" s="10" t="s">
        <v>582</v>
      </c>
      <c r="E369" s="46" t="s">
        <v>23</v>
      </c>
      <c r="F369" s="44">
        <f t="shared" si="33"/>
        <v>304.41000000000003</v>
      </c>
      <c r="G369" s="60">
        <v>0</v>
      </c>
      <c r="H369" s="60">
        <v>0</v>
      </c>
      <c r="I369" s="60">
        <v>304.41000000000003</v>
      </c>
      <c r="J369" s="60">
        <v>0</v>
      </c>
      <c r="K369" s="28" t="s">
        <v>75</v>
      </c>
    </row>
    <row r="370" spans="1:11" s="30" customFormat="1" ht="30" x14ac:dyDescent="0.25">
      <c r="A370" s="2">
        <v>42</v>
      </c>
      <c r="B370" s="162"/>
      <c r="C370" s="59" t="s">
        <v>583</v>
      </c>
      <c r="D370" s="10" t="s">
        <v>506</v>
      </c>
      <c r="E370" s="46" t="s">
        <v>23</v>
      </c>
      <c r="F370" s="44">
        <f t="shared" si="33"/>
        <v>580.14</v>
      </c>
      <c r="G370" s="60">
        <v>0</v>
      </c>
      <c r="H370" s="60">
        <v>0</v>
      </c>
      <c r="I370" s="60">
        <v>580.14</v>
      </c>
      <c r="J370" s="60">
        <v>0</v>
      </c>
      <c r="K370" s="28" t="s">
        <v>75</v>
      </c>
    </row>
    <row r="371" spans="1:11" s="30" customFormat="1" ht="45" x14ac:dyDescent="0.25">
      <c r="A371" s="2">
        <v>43</v>
      </c>
      <c r="B371" s="162"/>
      <c r="C371" s="59" t="s">
        <v>584</v>
      </c>
      <c r="D371" s="10" t="s">
        <v>585</v>
      </c>
      <c r="E371" s="46" t="s">
        <v>23</v>
      </c>
      <c r="F371" s="44">
        <f t="shared" si="33"/>
        <v>249.95</v>
      </c>
      <c r="G371" s="60">
        <v>0</v>
      </c>
      <c r="H371" s="60">
        <v>249.95</v>
      </c>
      <c r="I371" s="60">
        <v>0</v>
      </c>
      <c r="J371" s="60">
        <v>0</v>
      </c>
      <c r="K371" s="28" t="s">
        <v>284</v>
      </c>
    </row>
    <row r="372" spans="1:11" s="30" customFormat="1" ht="45" x14ac:dyDescent="0.25">
      <c r="A372" s="2">
        <v>44</v>
      </c>
      <c r="B372" s="162"/>
      <c r="C372" s="59" t="s">
        <v>586</v>
      </c>
      <c r="D372" s="10" t="s">
        <v>587</v>
      </c>
      <c r="E372" s="46" t="s">
        <v>23</v>
      </c>
      <c r="F372" s="44">
        <f t="shared" si="33"/>
        <v>189.52</v>
      </c>
      <c r="G372" s="60">
        <v>0</v>
      </c>
      <c r="H372" s="60">
        <v>189.52</v>
      </c>
      <c r="I372" s="60">
        <v>0</v>
      </c>
      <c r="J372" s="60">
        <v>0</v>
      </c>
      <c r="K372" s="28" t="s">
        <v>284</v>
      </c>
    </row>
    <row r="373" spans="1:11" s="30" customFormat="1" ht="30" x14ac:dyDescent="0.25">
      <c r="A373" s="2">
        <v>45</v>
      </c>
      <c r="B373" s="162"/>
      <c r="C373" s="59" t="s">
        <v>588</v>
      </c>
      <c r="D373" s="10" t="s">
        <v>589</v>
      </c>
      <c r="E373" s="46" t="s">
        <v>23</v>
      </c>
      <c r="F373" s="44">
        <f t="shared" si="33"/>
        <v>302.39999999999998</v>
      </c>
      <c r="G373" s="60">
        <v>0</v>
      </c>
      <c r="H373" s="60">
        <v>0</v>
      </c>
      <c r="I373" s="60">
        <v>302.39999999999998</v>
      </c>
      <c r="J373" s="60">
        <v>0</v>
      </c>
      <c r="K373" s="28" t="s">
        <v>75</v>
      </c>
    </row>
    <row r="374" spans="1:11" s="30" customFormat="1" ht="45" x14ac:dyDescent="0.25">
      <c r="A374" s="2">
        <v>46</v>
      </c>
      <c r="B374" s="162"/>
      <c r="C374" s="59" t="s">
        <v>590</v>
      </c>
      <c r="D374" s="10" t="s">
        <v>508</v>
      </c>
      <c r="E374" s="46" t="s">
        <v>23</v>
      </c>
      <c r="F374" s="44">
        <f t="shared" si="33"/>
        <v>282.89999999999998</v>
      </c>
      <c r="G374" s="60">
        <v>0</v>
      </c>
      <c r="H374" s="60">
        <v>0</v>
      </c>
      <c r="I374" s="60">
        <v>282.89999999999998</v>
      </c>
      <c r="J374" s="60">
        <v>0</v>
      </c>
      <c r="K374" s="28" t="s">
        <v>75</v>
      </c>
    </row>
    <row r="375" spans="1:11" s="30" customFormat="1" ht="45" x14ac:dyDescent="0.25">
      <c r="A375" s="2">
        <v>47</v>
      </c>
      <c r="B375" s="162"/>
      <c r="C375" s="59" t="s">
        <v>591</v>
      </c>
      <c r="D375" s="10" t="s">
        <v>510</v>
      </c>
      <c r="E375" s="46" t="s">
        <v>23</v>
      </c>
      <c r="F375" s="44">
        <f t="shared" si="33"/>
        <v>2304</v>
      </c>
      <c r="G375" s="60">
        <v>0</v>
      </c>
      <c r="H375" s="60">
        <v>0</v>
      </c>
      <c r="I375" s="60">
        <v>2304</v>
      </c>
      <c r="J375" s="60">
        <v>0</v>
      </c>
      <c r="K375" s="28" t="s">
        <v>75</v>
      </c>
    </row>
    <row r="376" spans="1:11" s="30" customFormat="1" ht="30" x14ac:dyDescent="0.25">
      <c r="A376" s="2">
        <v>48</v>
      </c>
      <c r="B376" s="162"/>
      <c r="C376" s="59" t="s">
        <v>592</v>
      </c>
      <c r="D376" s="10" t="s">
        <v>593</v>
      </c>
      <c r="E376" s="46" t="s">
        <v>23</v>
      </c>
      <c r="F376" s="44">
        <f t="shared" si="33"/>
        <v>138.13</v>
      </c>
      <c r="G376" s="60">
        <v>0</v>
      </c>
      <c r="H376" s="60">
        <v>138.13</v>
      </c>
      <c r="I376" s="60">
        <v>0</v>
      </c>
      <c r="J376" s="60">
        <v>0</v>
      </c>
      <c r="K376" s="28" t="s">
        <v>284</v>
      </c>
    </row>
    <row r="377" spans="1:11" s="30" customFormat="1" ht="45" x14ac:dyDescent="0.25">
      <c r="A377" s="2">
        <v>49</v>
      </c>
      <c r="B377" s="162"/>
      <c r="C377" s="59" t="s">
        <v>594</v>
      </c>
      <c r="D377" s="10" t="s">
        <v>512</v>
      </c>
      <c r="E377" s="46" t="s">
        <v>23</v>
      </c>
      <c r="F377" s="44">
        <f t="shared" si="33"/>
        <v>133.19999999999999</v>
      </c>
      <c r="G377" s="60">
        <v>0</v>
      </c>
      <c r="H377" s="60">
        <v>0</v>
      </c>
      <c r="I377" s="60">
        <v>133.19999999999999</v>
      </c>
      <c r="J377" s="60">
        <v>0</v>
      </c>
      <c r="K377" s="28" t="s">
        <v>75</v>
      </c>
    </row>
    <row r="378" spans="1:11" s="30" customFormat="1" ht="45" x14ac:dyDescent="0.25">
      <c r="A378" s="2">
        <v>50</v>
      </c>
      <c r="B378" s="162"/>
      <c r="C378" s="59" t="s">
        <v>595</v>
      </c>
      <c r="D378" s="10" t="s">
        <v>596</v>
      </c>
      <c r="E378" s="46" t="s">
        <v>23</v>
      </c>
      <c r="F378" s="44">
        <f t="shared" ref="F378:F406" si="35">G378+H378+I378+J378</f>
        <v>149.38</v>
      </c>
      <c r="G378" s="60">
        <v>0</v>
      </c>
      <c r="H378" s="60">
        <v>149.38</v>
      </c>
      <c r="I378" s="60">
        <v>0</v>
      </c>
      <c r="J378" s="60">
        <v>0</v>
      </c>
      <c r="K378" s="28" t="s">
        <v>284</v>
      </c>
    </row>
    <row r="379" spans="1:11" s="30" customFormat="1" ht="30" x14ac:dyDescent="0.25">
      <c r="A379" s="2">
        <v>51</v>
      </c>
      <c r="B379" s="163"/>
      <c r="C379" s="59" t="s">
        <v>597</v>
      </c>
      <c r="D379" s="10" t="s">
        <v>598</v>
      </c>
      <c r="E379" s="46" t="s">
        <v>23</v>
      </c>
      <c r="F379" s="44">
        <f t="shared" si="35"/>
        <v>1927.5</v>
      </c>
      <c r="G379" s="60">
        <v>0</v>
      </c>
      <c r="H379" s="60">
        <v>1927.5</v>
      </c>
      <c r="I379" s="60">
        <v>0</v>
      </c>
      <c r="J379" s="60">
        <v>0</v>
      </c>
      <c r="K379" s="28" t="s">
        <v>284</v>
      </c>
    </row>
    <row r="380" spans="1:11" s="34" customFormat="1" ht="28.5" customHeight="1" x14ac:dyDescent="0.25">
      <c r="A380" s="172" t="s">
        <v>1216</v>
      </c>
      <c r="B380" s="172"/>
      <c r="C380" s="172"/>
      <c r="D380" s="20"/>
      <c r="E380" s="20"/>
      <c r="F380" s="61">
        <f>SUM(F329:F379)</f>
        <v>135067.50000000006</v>
      </c>
      <c r="G380" s="33">
        <f t="shared" ref="G380:J380" si="36">SUM(G329:G379)</f>
        <v>0</v>
      </c>
      <c r="H380" s="33">
        <f t="shared" si="36"/>
        <v>72492.850000000006</v>
      </c>
      <c r="I380" s="33">
        <f t="shared" si="36"/>
        <v>62574.65</v>
      </c>
      <c r="J380" s="33">
        <f t="shared" si="36"/>
        <v>0</v>
      </c>
      <c r="K380" s="31"/>
    </row>
    <row r="381" spans="1:11" s="30" customFormat="1" ht="30" x14ac:dyDescent="0.25">
      <c r="A381" s="2">
        <v>1</v>
      </c>
      <c r="B381" s="161" t="s">
        <v>482</v>
      </c>
      <c r="C381" s="59" t="s">
        <v>599</v>
      </c>
      <c r="D381" s="10" t="s">
        <v>447</v>
      </c>
      <c r="E381" s="2" t="s">
        <v>23</v>
      </c>
      <c r="F381" s="44">
        <f t="shared" si="35"/>
        <v>12694.66</v>
      </c>
      <c r="G381" s="60">
        <v>0</v>
      </c>
      <c r="H381" s="60">
        <v>0</v>
      </c>
      <c r="I381" s="60">
        <v>12694.66</v>
      </c>
      <c r="J381" s="60">
        <v>0</v>
      </c>
      <c r="K381" s="28" t="s">
        <v>291</v>
      </c>
    </row>
    <row r="382" spans="1:11" s="30" customFormat="1" ht="30" x14ac:dyDescent="0.25">
      <c r="A382" s="2">
        <v>2</v>
      </c>
      <c r="B382" s="162"/>
      <c r="C382" s="59" t="s">
        <v>600</v>
      </c>
      <c r="D382" s="10" t="s">
        <v>515</v>
      </c>
      <c r="E382" s="2" t="s">
        <v>23</v>
      </c>
      <c r="F382" s="44">
        <f t="shared" si="35"/>
        <v>3782.22</v>
      </c>
      <c r="G382" s="60">
        <v>0</v>
      </c>
      <c r="H382" s="60">
        <v>0</v>
      </c>
      <c r="I382" s="60">
        <v>3782.22</v>
      </c>
      <c r="J382" s="60">
        <v>0</v>
      </c>
      <c r="K382" s="28" t="s">
        <v>291</v>
      </c>
    </row>
    <row r="383" spans="1:11" s="30" customFormat="1" ht="30" x14ac:dyDescent="0.25">
      <c r="A383" s="2">
        <v>3</v>
      </c>
      <c r="B383" s="162"/>
      <c r="C383" s="59" t="s">
        <v>601</v>
      </c>
      <c r="D383" s="10" t="s">
        <v>449</v>
      </c>
      <c r="E383" s="2" t="s">
        <v>23</v>
      </c>
      <c r="F383" s="44">
        <f t="shared" si="35"/>
        <v>112.33</v>
      </c>
      <c r="G383" s="60">
        <v>0</v>
      </c>
      <c r="H383" s="60">
        <v>0</v>
      </c>
      <c r="I383" s="60">
        <v>112.33</v>
      </c>
      <c r="J383" s="60">
        <v>0</v>
      </c>
      <c r="K383" s="28" t="s">
        <v>291</v>
      </c>
    </row>
    <row r="384" spans="1:11" s="30" customFormat="1" ht="30" x14ac:dyDescent="0.25">
      <c r="A384" s="2">
        <v>4</v>
      </c>
      <c r="B384" s="162"/>
      <c r="C384" s="59" t="s">
        <v>602</v>
      </c>
      <c r="D384" s="10" t="s">
        <v>518</v>
      </c>
      <c r="E384" s="2" t="s">
        <v>23</v>
      </c>
      <c r="F384" s="44">
        <f t="shared" si="35"/>
        <v>10000</v>
      </c>
      <c r="G384" s="60">
        <v>0</v>
      </c>
      <c r="H384" s="60">
        <v>0</v>
      </c>
      <c r="I384" s="60">
        <v>10000</v>
      </c>
      <c r="J384" s="60">
        <v>0</v>
      </c>
      <c r="K384" s="28" t="s">
        <v>291</v>
      </c>
    </row>
    <row r="385" spans="1:11" s="30" customFormat="1" ht="30" x14ac:dyDescent="0.25">
      <c r="A385" s="2">
        <v>5</v>
      </c>
      <c r="B385" s="162"/>
      <c r="C385" s="59" t="s">
        <v>603</v>
      </c>
      <c r="D385" s="10" t="s">
        <v>521</v>
      </c>
      <c r="E385" s="2" t="s">
        <v>23</v>
      </c>
      <c r="F385" s="44">
        <f t="shared" si="35"/>
        <v>190.8</v>
      </c>
      <c r="G385" s="60">
        <v>0</v>
      </c>
      <c r="H385" s="60">
        <v>0</v>
      </c>
      <c r="I385" s="60">
        <v>190.8</v>
      </c>
      <c r="J385" s="60">
        <v>0</v>
      </c>
      <c r="K385" s="28" t="s">
        <v>291</v>
      </c>
    </row>
    <row r="386" spans="1:11" s="30" customFormat="1" ht="45" x14ac:dyDescent="0.25">
      <c r="A386" s="2">
        <v>6</v>
      </c>
      <c r="B386" s="162"/>
      <c r="C386" s="59" t="s">
        <v>604</v>
      </c>
      <c r="D386" s="10" t="s">
        <v>541</v>
      </c>
      <c r="E386" s="2" t="s">
        <v>23</v>
      </c>
      <c r="F386" s="44">
        <f t="shared" si="35"/>
        <v>1229.25</v>
      </c>
      <c r="G386" s="60">
        <v>0</v>
      </c>
      <c r="H386" s="60">
        <v>0</v>
      </c>
      <c r="I386" s="60">
        <v>1229.25</v>
      </c>
      <c r="J386" s="60">
        <v>0</v>
      </c>
      <c r="K386" s="28" t="s">
        <v>291</v>
      </c>
    </row>
    <row r="387" spans="1:11" s="30" customFormat="1" ht="45" x14ac:dyDescent="0.25">
      <c r="A387" s="2">
        <v>7</v>
      </c>
      <c r="B387" s="162"/>
      <c r="C387" s="59" t="s">
        <v>605</v>
      </c>
      <c r="D387" s="10" t="s">
        <v>543</v>
      </c>
      <c r="E387" s="2" t="s">
        <v>23</v>
      </c>
      <c r="F387" s="44">
        <f t="shared" si="35"/>
        <v>5307.22</v>
      </c>
      <c r="G387" s="60">
        <v>0</v>
      </c>
      <c r="H387" s="60">
        <v>0</v>
      </c>
      <c r="I387" s="60">
        <v>5307.22</v>
      </c>
      <c r="J387" s="60">
        <v>0</v>
      </c>
      <c r="K387" s="28" t="s">
        <v>291</v>
      </c>
    </row>
    <row r="388" spans="1:11" s="30" customFormat="1" ht="45" x14ac:dyDescent="0.25">
      <c r="A388" s="2">
        <v>8</v>
      </c>
      <c r="B388" s="162"/>
      <c r="C388" s="59" t="s">
        <v>606</v>
      </c>
      <c r="D388" s="10" t="s">
        <v>545</v>
      </c>
      <c r="E388" s="2" t="s">
        <v>23</v>
      </c>
      <c r="F388" s="44">
        <f t="shared" si="35"/>
        <v>1288</v>
      </c>
      <c r="G388" s="60">
        <v>0</v>
      </c>
      <c r="H388" s="60">
        <v>0</v>
      </c>
      <c r="I388" s="60">
        <v>1288</v>
      </c>
      <c r="J388" s="60">
        <v>0</v>
      </c>
      <c r="K388" s="28" t="s">
        <v>291</v>
      </c>
    </row>
    <row r="389" spans="1:11" s="30" customFormat="1" ht="30" x14ac:dyDescent="0.25">
      <c r="A389" s="2">
        <v>9</v>
      </c>
      <c r="B389" s="162"/>
      <c r="C389" s="59" t="s">
        <v>607</v>
      </c>
      <c r="D389" s="10" t="s">
        <v>547</v>
      </c>
      <c r="E389" s="2" t="s">
        <v>23</v>
      </c>
      <c r="F389" s="44">
        <f t="shared" si="35"/>
        <v>177.75</v>
      </c>
      <c r="G389" s="60">
        <v>0</v>
      </c>
      <c r="H389" s="60">
        <v>0</v>
      </c>
      <c r="I389" s="60">
        <v>177.75</v>
      </c>
      <c r="J389" s="60">
        <v>0</v>
      </c>
      <c r="K389" s="28" t="s">
        <v>291</v>
      </c>
    </row>
    <row r="390" spans="1:11" s="30" customFormat="1" ht="45" x14ac:dyDescent="0.25">
      <c r="A390" s="2">
        <v>10</v>
      </c>
      <c r="B390" s="162"/>
      <c r="C390" s="59" t="s">
        <v>608</v>
      </c>
      <c r="D390" s="10" t="s">
        <v>549</v>
      </c>
      <c r="E390" s="2" t="s">
        <v>23</v>
      </c>
      <c r="F390" s="44">
        <f t="shared" si="35"/>
        <v>241.99</v>
      </c>
      <c r="G390" s="60">
        <v>0</v>
      </c>
      <c r="H390" s="60">
        <v>0</v>
      </c>
      <c r="I390" s="60">
        <v>241.99</v>
      </c>
      <c r="J390" s="60">
        <v>0</v>
      </c>
      <c r="K390" s="28" t="s">
        <v>291</v>
      </c>
    </row>
    <row r="391" spans="1:11" s="30" customFormat="1" ht="30" x14ac:dyDescent="0.25">
      <c r="A391" s="2">
        <v>11</v>
      </c>
      <c r="B391" s="162"/>
      <c r="C391" s="59" t="s">
        <v>609</v>
      </c>
      <c r="D391" s="10" t="s">
        <v>551</v>
      </c>
      <c r="E391" s="2" t="s">
        <v>23</v>
      </c>
      <c r="F391" s="44">
        <f t="shared" si="35"/>
        <v>608.96</v>
      </c>
      <c r="G391" s="60">
        <v>0</v>
      </c>
      <c r="H391" s="60">
        <v>0</v>
      </c>
      <c r="I391" s="60">
        <v>608.96</v>
      </c>
      <c r="J391" s="60">
        <v>0</v>
      </c>
      <c r="K391" s="28" t="s">
        <v>291</v>
      </c>
    </row>
    <row r="392" spans="1:11" s="30" customFormat="1" ht="30" x14ac:dyDescent="0.25">
      <c r="A392" s="2">
        <v>12</v>
      </c>
      <c r="B392" s="162"/>
      <c r="C392" s="59" t="s">
        <v>610</v>
      </c>
      <c r="D392" s="10" t="s">
        <v>553</v>
      </c>
      <c r="E392" s="2" t="s">
        <v>23</v>
      </c>
      <c r="F392" s="44">
        <f t="shared" si="35"/>
        <v>89.25</v>
      </c>
      <c r="G392" s="60">
        <v>0</v>
      </c>
      <c r="H392" s="60">
        <v>0</v>
      </c>
      <c r="I392" s="60">
        <v>89.25</v>
      </c>
      <c r="J392" s="60">
        <v>0</v>
      </c>
      <c r="K392" s="28" t="s">
        <v>291</v>
      </c>
    </row>
    <row r="393" spans="1:11" s="30" customFormat="1" ht="45" x14ac:dyDescent="0.25">
      <c r="A393" s="2">
        <v>13</v>
      </c>
      <c r="B393" s="162"/>
      <c r="C393" s="59" t="s">
        <v>611</v>
      </c>
      <c r="D393" s="10" t="s">
        <v>555</v>
      </c>
      <c r="E393" s="2" t="s">
        <v>23</v>
      </c>
      <c r="F393" s="44">
        <f t="shared" si="35"/>
        <v>269.67</v>
      </c>
      <c r="G393" s="60">
        <v>0</v>
      </c>
      <c r="H393" s="60">
        <v>0</v>
      </c>
      <c r="I393" s="60">
        <v>269.67</v>
      </c>
      <c r="J393" s="60">
        <v>0</v>
      </c>
      <c r="K393" s="28" t="s">
        <v>291</v>
      </c>
    </row>
    <row r="394" spans="1:11" s="30" customFormat="1" ht="60" x14ac:dyDescent="0.25">
      <c r="A394" s="2">
        <v>14</v>
      </c>
      <c r="B394" s="162"/>
      <c r="C394" s="59" t="s">
        <v>612</v>
      </c>
      <c r="D394" s="10" t="s">
        <v>557</v>
      </c>
      <c r="E394" s="2" t="s">
        <v>23</v>
      </c>
      <c r="F394" s="44">
        <f t="shared" si="35"/>
        <v>118.33</v>
      </c>
      <c r="G394" s="60">
        <v>0</v>
      </c>
      <c r="H394" s="60">
        <v>0</v>
      </c>
      <c r="I394" s="60">
        <v>118.33</v>
      </c>
      <c r="J394" s="60">
        <v>0</v>
      </c>
      <c r="K394" s="28" t="s">
        <v>291</v>
      </c>
    </row>
    <row r="395" spans="1:11" s="30" customFormat="1" ht="75" x14ac:dyDescent="0.25">
      <c r="A395" s="2">
        <v>15</v>
      </c>
      <c r="B395" s="162"/>
      <c r="C395" s="59" t="s">
        <v>613</v>
      </c>
      <c r="D395" s="10" t="s">
        <v>559</v>
      </c>
      <c r="E395" s="2" t="s">
        <v>23</v>
      </c>
      <c r="F395" s="44">
        <f t="shared" si="35"/>
        <v>781.28</v>
      </c>
      <c r="G395" s="60">
        <v>0</v>
      </c>
      <c r="H395" s="60">
        <v>0</v>
      </c>
      <c r="I395" s="60">
        <v>781.28</v>
      </c>
      <c r="J395" s="60">
        <v>0</v>
      </c>
      <c r="K395" s="28" t="s">
        <v>291</v>
      </c>
    </row>
    <row r="396" spans="1:11" s="30" customFormat="1" ht="45" x14ac:dyDescent="0.25">
      <c r="A396" s="2">
        <v>16</v>
      </c>
      <c r="B396" s="162"/>
      <c r="C396" s="59" t="s">
        <v>614</v>
      </c>
      <c r="D396" s="10" t="s">
        <v>561</v>
      </c>
      <c r="E396" s="2" t="s">
        <v>23</v>
      </c>
      <c r="F396" s="44">
        <f t="shared" si="35"/>
        <v>201.12</v>
      </c>
      <c r="G396" s="60">
        <v>0</v>
      </c>
      <c r="H396" s="60">
        <v>0</v>
      </c>
      <c r="I396" s="60">
        <v>201.12</v>
      </c>
      <c r="J396" s="60">
        <v>0</v>
      </c>
      <c r="K396" s="28" t="s">
        <v>291</v>
      </c>
    </row>
    <row r="397" spans="1:11" s="30" customFormat="1" ht="45" x14ac:dyDescent="0.25">
      <c r="A397" s="2">
        <v>17</v>
      </c>
      <c r="B397" s="162"/>
      <c r="C397" s="59" t="s">
        <v>615</v>
      </c>
      <c r="D397" s="10" t="s">
        <v>563</v>
      </c>
      <c r="E397" s="2" t="s">
        <v>23</v>
      </c>
      <c r="F397" s="44">
        <f t="shared" si="35"/>
        <v>457.08</v>
      </c>
      <c r="G397" s="60">
        <v>0</v>
      </c>
      <c r="H397" s="60">
        <v>0</v>
      </c>
      <c r="I397" s="60">
        <v>457.08</v>
      </c>
      <c r="J397" s="60">
        <v>0</v>
      </c>
      <c r="K397" s="28" t="s">
        <v>291</v>
      </c>
    </row>
    <row r="398" spans="1:11" s="30" customFormat="1" ht="60" x14ac:dyDescent="0.25">
      <c r="A398" s="2">
        <v>18</v>
      </c>
      <c r="B398" s="162"/>
      <c r="C398" s="59" t="s">
        <v>616</v>
      </c>
      <c r="D398" s="10" t="s">
        <v>567</v>
      </c>
      <c r="E398" s="2" t="s">
        <v>23</v>
      </c>
      <c r="F398" s="44">
        <f t="shared" si="35"/>
        <v>1296</v>
      </c>
      <c r="G398" s="60">
        <v>0</v>
      </c>
      <c r="H398" s="60">
        <v>0</v>
      </c>
      <c r="I398" s="60">
        <v>1296</v>
      </c>
      <c r="J398" s="60">
        <v>0</v>
      </c>
      <c r="K398" s="28" t="s">
        <v>291</v>
      </c>
    </row>
    <row r="399" spans="1:11" s="30" customFormat="1" ht="45" x14ac:dyDescent="0.25">
      <c r="A399" s="2">
        <v>19</v>
      </c>
      <c r="B399" s="162"/>
      <c r="C399" s="59" t="s">
        <v>617</v>
      </c>
      <c r="D399" s="10" t="s">
        <v>569</v>
      </c>
      <c r="E399" s="2" t="s">
        <v>23</v>
      </c>
      <c r="F399" s="44">
        <f t="shared" si="35"/>
        <v>566</v>
      </c>
      <c r="G399" s="60">
        <v>0</v>
      </c>
      <c r="H399" s="60">
        <v>0</v>
      </c>
      <c r="I399" s="60">
        <v>566</v>
      </c>
      <c r="J399" s="60">
        <v>0</v>
      </c>
      <c r="K399" s="28" t="s">
        <v>291</v>
      </c>
    </row>
    <row r="400" spans="1:11" s="30" customFormat="1" ht="60" x14ac:dyDescent="0.25">
      <c r="A400" s="2">
        <v>20</v>
      </c>
      <c r="B400" s="162"/>
      <c r="C400" s="59" t="s">
        <v>618</v>
      </c>
      <c r="D400" s="10" t="s">
        <v>571</v>
      </c>
      <c r="E400" s="2" t="s">
        <v>23</v>
      </c>
      <c r="F400" s="44">
        <f t="shared" si="35"/>
        <v>11070.3</v>
      </c>
      <c r="G400" s="60">
        <v>0</v>
      </c>
      <c r="H400" s="60">
        <v>0</v>
      </c>
      <c r="I400" s="60">
        <v>11070.3</v>
      </c>
      <c r="J400" s="60">
        <v>0</v>
      </c>
      <c r="K400" s="28" t="s">
        <v>291</v>
      </c>
    </row>
    <row r="401" spans="1:11" s="30" customFormat="1" ht="60" x14ac:dyDescent="0.25">
      <c r="A401" s="2">
        <v>21</v>
      </c>
      <c r="B401" s="162"/>
      <c r="C401" s="59" t="s">
        <v>619</v>
      </c>
      <c r="D401" s="10" t="s">
        <v>571</v>
      </c>
      <c r="E401" s="2" t="s">
        <v>23</v>
      </c>
      <c r="F401" s="44">
        <f t="shared" si="35"/>
        <v>19354.580000000002</v>
      </c>
      <c r="G401" s="60">
        <v>0</v>
      </c>
      <c r="H401" s="60">
        <v>0</v>
      </c>
      <c r="I401" s="60">
        <v>19354.580000000002</v>
      </c>
      <c r="J401" s="60">
        <v>0</v>
      </c>
      <c r="K401" s="28" t="s">
        <v>291</v>
      </c>
    </row>
    <row r="402" spans="1:11" s="30" customFormat="1" ht="45" x14ac:dyDescent="0.25">
      <c r="A402" s="2">
        <v>22</v>
      </c>
      <c r="B402" s="162"/>
      <c r="C402" s="59" t="s">
        <v>620</v>
      </c>
      <c r="D402" s="10" t="s">
        <v>585</v>
      </c>
      <c r="E402" s="2" t="s">
        <v>23</v>
      </c>
      <c r="F402" s="44">
        <f t="shared" si="35"/>
        <v>249.95</v>
      </c>
      <c r="G402" s="60">
        <v>0</v>
      </c>
      <c r="H402" s="60">
        <v>0</v>
      </c>
      <c r="I402" s="60">
        <v>249.95</v>
      </c>
      <c r="J402" s="60">
        <v>0</v>
      </c>
      <c r="K402" s="28" t="s">
        <v>291</v>
      </c>
    </row>
    <row r="403" spans="1:11" s="30" customFormat="1" ht="45" x14ac:dyDescent="0.25">
      <c r="A403" s="2">
        <v>23</v>
      </c>
      <c r="B403" s="162"/>
      <c r="C403" s="59" t="s">
        <v>621</v>
      </c>
      <c r="D403" s="10" t="s">
        <v>587</v>
      </c>
      <c r="E403" s="2" t="s">
        <v>23</v>
      </c>
      <c r="F403" s="44">
        <f t="shared" si="35"/>
        <v>189.52</v>
      </c>
      <c r="G403" s="60">
        <v>0</v>
      </c>
      <c r="H403" s="60">
        <v>0</v>
      </c>
      <c r="I403" s="60">
        <v>189.52</v>
      </c>
      <c r="J403" s="60">
        <v>0</v>
      </c>
      <c r="K403" s="28" t="s">
        <v>291</v>
      </c>
    </row>
    <row r="404" spans="1:11" s="30" customFormat="1" ht="30" x14ac:dyDescent="0.25">
      <c r="A404" s="2">
        <v>24</v>
      </c>
      <c r="B404" s="162"/>
      <c r="C404" s="59" t="s">
        <v>622</v>
      </c>
      <c r="D404" s="10" t="s">
        <v>593</v>
      </c>
      <c r="E404" s="2" t="s">
        <v>23</v>
      </c>
      <c r="F404" s="44">
        <f t="shared" si="35"/>
        <v>138.13</v>
      </c>
      <c r="G404" s="60">
        <v>0</v>
      </c>
      <c r="H404" s="60">
        <v>0</v>
      </c>
      <c r="I404" s="60">
        <v>138.13</v>
      </c>
      <c r="J404" s="60">
        <v>0</v>
      </c>
      <c r="K404" s="28" t="s">
        <v>291</v>
      </c>
    </row>
    <row r="405" spans="1:11" s="30" customFormat="1" ht="45" x14ac:dyDescent="0.25">
      <c r="A405" s="2">
        <v>25</v>
      </c>
      <c r="B405" s="162"/>
      <c r="C405" s="59" t="s">
        <v>623</v>
      </c>
      <c r="D405" s="10" t="s">
        <v>596</v>
      </c>
      <c r="E405" s="2" t="s">
        <v>23</v>
      </c>
      <c r="F405" s="44">
        <f t="shared" si="35"/>
        <v>149.38</v>
      </c>
      <c r="G405" s="60">
        <v>0</v>
      </c>
      <c r="H405" s="60">
        <v>0</v>
      </c>
      <c r="I405" s="60">
        <v>149.38</v>
      </c>
      <c r="J405" s="60">
        <v>0</v>
      </c>
      <c r="K405" s="28" t="s">
        <v>291</v>
      </c>
    </row>
    <row r="406" spans="1:11" s="30" customFormat="1" ht="30" x14ac:dyDescent="0.25">
      <c r="A406" s="2">
        <v>26</v>
      </c>
      <c r="B406" s="163"/>
      <c r="C406" s="28" t="s">
        <v>624</v>
      </c>
      <c r="D406" s="10" t="s">
        <v>598</v>
      </c>
      <c r="E406" s="2" t="s">
        <v>23</v>
      </c>
      <c r="F406" s="44">
        <f t="shared" si="35"/>
        <v>1927.5</v>
      </c>
      <c r="G406" s="29">
        <v>0</v>
      </c>
      <c r="H406" s="29">
        <v>0</v>
      </c>
      <c r="I406" s="29">
        <v>1927.5</v>
      </c>
      <c r="J406" s="29">
        <v>0</v>
      </c>
      <c r="K406" s="28" t="s">
        <v>291</v>
      </c>
    </row>
    <row r="407" spans="1:11" s="34" customFormat="1" ht="30.6" customHeight="1" x14ac:dyDescent="0.25">
      <c r="A407" s="172" t="s">
        <v>1217</v>
      </c>
      <c r="B407" s="172"/>
      <c r="C407" s="172"/>
      <c r="D407" s="20"/>
      <c r="E407" s="20"/>
      <c r="F407" s="61">
        <f>SUM(F381:F406)</f>
        <v>72491.270000000019</v>
      </c>
      <c r="G407" s="33">
        <f t="shared" ref="G407:J407" si="37">SUM(G381:G406)</f>
        <v>0</v>
      </c>
      <c r="H407" s="33">
        <f t="shared" si="37"/>
        <v>0</v>
      </c>
      <c r="I407" s="33">
        <f t="shared" si="37"/>
        <v>72491.270000000019</v>
      </c>
      <c r="J407" s="33">
        <f t="shared" si="37"/>
        <v>0</v>
      </c>
      <c r="K407" s="31"/>
    </row>
    <row r="408" spans="1:11" s="30" customFormat="1" ht="30" x14ac:dyDescent="0.25">
      <c r="A408" s="2">
        <v>1</v>
      </c>
      <c r="B408" s="23" t="s">
        <v>625</v>
      </c>
      <c r="C408" s="23" t="s">
        <v>626</v>
      </c>
      <c r="D408" s="8" t="s">
        <v>152</v>
      </c>
      <c r="E408" s="8" t="s">
        <v>23</v>
      </c>
      <c r="F408" s="44">
        <f>SUM(G408:J408)</f>
        <v>492.4</v>
      </c>
      <c r="G408" s="44">
        <v>0</v>
      </c>
      <c r="H408" s="44">
        <v>451.2</v>
      </c>
      <c r="I408" s="44">
        <v>41.2</v>
      </c>
      <c r="J408" s="44">
        <v>0</v>
      </c>
      <c r="K408" s="28" t="s">
        <v>418</v>
      </c>
    </row>
    <row r="409" spans="1:11" s="34" customFormat="1" ht="29.25" customHeight="1" x14ac:dyDescent="0.25">
      <c r="A409" s="188" t="s">
        <v>1218</v>
      </c>
      <c r="B409" s="189"/>
      <c r="C409" s="190"/>
      <c r="D409" s="37"/>
      <c r="E409" s="37"/>
      <c r="F409" s="61">
        <f t="shared" ref="F409:F422" si="38">SUM(G409:J409)</f>
        <v>492.4</v>
      </c>
      <c r="G409" s="44">
        <v>0</v>
      </c>
      <c r="H409" s="33">
        <f>SUM(H408:H408)</f>
        <v>451.2</v>
      </c>
      <c r="I409" s="33">
        <f>SUM(I408:I408)</f>
        <v>41.2</v>
      </c>
      <c r="J409" s="44">
        <v>0</v>
      </c>
      <c r="K409" s="31"/>
    </row>
    <row r="410" spans="1:11" s="30" customFormat="1" ht="30" x14ac:dyDescent="0.25">
      <c r="A410" s="2">
        <v>1</v>
      </c>
      <c r="B410" s="204" t="s">
        <v>625</v>
      </c>
      <c r="C410" s="23" t="s">
        <v>627</v>
      </c>
      <c r="D410" s="8" t="s">
        <v>132</v>
      </c>
      <c r="E410" s="8" t="s">
        <v>23</v>
      </c>
      <c r="F410" s="44">
        <f t="shared" si="38"/>
        <v>3285</v>
      </c>
      <c r="G410" s="44">
        <v>0</v>
      </c>
      <c r="H410" s="44">
        <v>819</v>
      </c>
      <c r="I410" s="44">
        <v>2466</v>
      </c>
      <c r="J410" s="44">
        <v>0</v>
      </c>
      <c r="K410" s="28" t="s">
        <v>284</v>
      </c>
    </row>
    <row r="411" spans="1:11" s="30" customFormat="1" ht="30" x14ac:dyDescent="0.25">
      <c r="A411" s="2">
        <v>2</v>
      </c>
      <c r="B411" s="205"/>
      <c r="C411" s="23" t="s">
        <v>628</v>
      </c>
      <c r="D411" s="8" t="s">
        <v>132</v>
      </c>
      <c r="E411" s="8" t="s">
        <v>23</v>
      </c>
      <c r="F411" s="44">
        <f t="shared" si="38"/>
        <v>47.112000000000002</v>
      </c>
      <c r="G411" s="44">
        <v>0</v>
      </c>
      <c r="H411" s="44">
        <v>0</v>
      </c>
      <c r="I411" s="44">
        <v>47.112000000000002</v>
      </c>
      <c r="J411" s="44">
        <v>0</v>
      </c>
      <c r="K411" s="28" t="s">
        <v>210</v>
      </c>
    </row>
    <row r="412" spans="1:11" s="30" customFormat="1" ht="60" x14ac:dyDescent="0.25">
      <c r="A412" s="2">
        <v>3</v>
      </c>
      <c r="B412" s="205"/>
      <c r="C412" s="23" t="s">
        <v>629</v>
      </c>
      <c r="D412" s="8" t="s">
        <v>294</v>
      </c>
      <c r="E412" s="8" t="s">
        <v>23</v>
      </c>
      <c r="F412" s="44">
        <f t="shared" si="38"/>
        <v>204</v>
      </c>
      <c r="G412" s="44">
        <v>0</v>
      </c>
      <c r="H412" s="44">
        <v>0</v>
      </c>
      <c r="I412" s="44">
        <v>204</v>
      </c>
      <c r="J412" s="44">
        <v>0</v>
      </c>
      <c r="K412" s="28" t="s">
        <v>210</v>
      </c>
    </row>
    <row r="413" spans="1:11" s="30" customFormat="1" ht="30" x14ac:dyDescent="0.25">
      <c r="A413" s="2">
        <v>4</v>
      </c>
      <c r="B413" s="205"/>
      <c r="C413" s="23" t="s">
        <v>630</v>
      </c>
      <c r="D413" s="46" t="s">
        <v>152</v>
      </c>
      <c r="E413" s="46" t="s">
        <v>23</v>
      </c>
      <c r="F413" s="44">
        <f t="shared" si="38"/>
        <v>561.91999999999996</v>
      </c>
      <c r="G413" s="44">
        <v>0</v>
      </c>
      <c r="H413" s="44">
        <v>0</v>
      </c>
      <c r="I413" s="44">
        <v>561.91999999999996</v>
      </c>
      <c r="J413" s="44">
        <v>0</v>
      </c>
      <c r="K413" s="28" t="s">
        <v>197</v>
      </c>
    </row>
    <row r="414" spans="1:11" s="30" customFormat="1" ht="30" x14ac:dyDescent="0.25">
      <c r="A414" s="2">
        <v>5</v>
      </c>
      <c r="B414" s="205"/>
      <c r="C414" s="23" t="s">
        <v>631</v>
      </c>
      <c r="D414" s="46" t="s">
        <v>149</v>
      </c>
      <c r="E414" s="46" t="s">
        <v>23</v>
      </c>
      <c r="F414" s="44">
        <f t="shared" si="38"/>
        <v>1540.04</v>
      </c>
      <c r="G414" s="44">
        <v>0</v>
      </c>
      <c r="H414" s="44">
        <v>0</v>
      </c>
      <c r="I414" s="44">
        <v>1540.04</v>
      </c>
      <c r="J414" s="44">
        <v>0</v>
      </c>
      <c r="K414" s="28" t="s">
        <v>197</v>
      </c>
    </row>
    <row r="415" spans="1:11" s="30" customFormat="1" ht="30" x14ac:dyDescent="0.25">
      <c r="A415" s="2">
        <v>6</v>
      </c>
      <c r="B415" s="205"/>
      <c r="C415" s="23" t="s">
        <v>632</v>
      </c>
      <c r="D415" s="2" t="s">
        <v>633</v>
      </c>
      <c r="E415" s="2" t="s">
        <v>23</v>
      </c>
      <c r="F415" s="44">
        <f t="shared" si="38"/>
        <v>112.2</v>
      </c>
      <c r="G415" s="44">
        <v>0</v>
      </c>
      <c r="H415" s="44">
        <v>0</v>
      </c>
      <c r="I415" s="44">
        <v>112.2</v>
      </c>
      <c r="J415" s="44">
        <v>0</v>
      </c>
      <c r="K415" s="28" t="s">
        <v>197</v>
      </c>
    </row>
    <row r="416" spans="1:11" s="30" customFormat="1" ht="30" x14ac:dyDescent="0.25">
      <c r="A416" s="2">
        <v>7</v>
      </c>
      <c r="B416" s="205"/>
      <c r="C416" s="23" t="s">
        <v>634</v>
      </c>
      <c r="D416" s="2" t="s">
        <v>635</v>
      </c>
      <c r="E416" s="2" t="s">
        <v>23</v>
      </c>
      <c r="F416" s="44">
        <f t="shared" si="38"/>
        <v>755.78200000000004</v>
      </c>
      <c r="G416" s="44">
        <v>0</v>
      </c>
      <c r="H416" s="44">
        <v>0</v>
      </c>
      <c r="I416" s="44">
        <v>755.78200000000004</v>
      </c>
      <c r="J416" s="44">
        <v>0</v>
      </c>
      <c r="K416" s="28" t="s">
        <v>197</v>
      </c>
    </row>
    <row r="417" spans="1:11" s="30" customFormat="1" ht="30" x14ac:dyDescent="0.25">
      <c r="A417" s="2">
        <v>8</v>
      </c>
      <c r="B417" s="205"/>
      <c r="C417" s="23" t="s">
        <v>636</v>
      </c>
      <c r="D417" s="2" t="s">
        <v>637</v>
      </c>
      <c r="E417" s="2" t="s">
        <v>23</v>
      </c>
      <c r="F417" s="44">
        <f t="shared" si="38"/>
        <v>130.86000000000001</v>
      </c>
      <c r="G417" s="44">
        <v>0</v>
      </c>
      <c r="H417" s="44">
        <v>130.86000000000001</v>
      </c>
      <c r="I417" s="44">
        <v>0</v>
      </c>
      <c r="J417" s="44">
        <v>0</v>
      </c>
      <c r="K417" s="28" t="s">
        <v>142</v>
      </c>
    </row>
    <row r="418" spans="1:11" s="30" customFormat="1" ht="30" x14ac:dyDescent="0.25">
      <c r="A418" s="2">
        <v>9</v>
      </c>
      <c r="B418" s="206"/>
      <c r="C418" s="23" t="s">
        <v>638</v>
      </c>
      <c r="D418" s="2" t="s">
        <v>639</v>
      </c>
      <c r="E418" s="2" t="s">
        <v>23</v>
      </c>
      <c r="F418" s="44">
        <f t="shared" si="38"/>
        <v>35.340000000000003</v>
      </c>
      <c r="G418" s="44">
        <v>0</v>
      </c>
      <c r="H418" s="44">
        <v>35.340000000000003</v>
      </c>
      <c r="I418" s="44">
        <v>0</v>
      </c>
      <c r="J418" s="44">
        <v>0</v>
      </c>
      <c r="K418" s="28" t="s">
        <v>197</v>
      </c>
    </row>
    <row r="419" spans="1:11" s="34" customFormat="1" ht="27.75" customHeight="1" x14ac:dyDescent="0.25">
      <c r="A419" s="172" t="s">
        <v>1219</v>
      </c>
      <c r="B419" s="172"/>
      <c r="C419" s="172"/>
      <c r="D419" s="20"/>
      <c r="E419" s="20"/>
      <c r="F419" s="61">
        <f>SUM(F410:F418)</f>
        <v>6672.2539999999999</v>
      </c>
      <c r="G419" s="44">
        <v>0</v>
      </c>
      <c r="H419" s="33">
        <f>SUM(H410:H418)</f>
        <v>985.2</v>
      </c>
      <c r="I419" s="33">
        <f>SUM(I410:I418)</f>
        <v>5687.0540000000001</v>
      </c>
      <c r="J419" s="44">
        <v>0</v>
      </c>
      <c r="K419" s="45"/>
    </row>
    <row r="420" spans="1:11" s="30" customFormat="1" ht="30" x14ac:dyDescent="0.25">
      <c r="A420" s="2">
        <v>1</v>
      </c>
      <c r="B420" s="204" t="s">
        <v>625</v>
      </c>
      <c r="C420" s="23" t="s">
        <v>640</v>
      </c>
      <c r="D420" s="8" t="s">
        <v>132</v>
      </c>
      <c r="E420" s="8" t="s">
        <v>23</v>
      </c>
      <c r="F420" s="44">
        <f t="shared" si="38"/>
        <v>549</v>
      </c>
      <c r="G420" s="44">
        <v>0</v>
      </c>
      <c r="H420" s="44">
        <v>0</v>
      </c>
      <c r="I420" s="44">
        <v>549</v>
      </c>
      <c r="J420" s="44">
        <v>0</v>
      </c>
      <c r="K420" s="28" t="s">
        <v>291</v>
      </c>
    </row>
    <row r="421" spans="1:11" s="30" customFormat="1" ht="30" x14ac:dyDescent="0.25">
      <c r="A421" s="2">
        <v>2</v>
      </c>
      <c r="B421" s="205"/>
      <c r="C421" s="23" t="s">
        <v>641</v>
      </c>
      <c r="D421" s="8" t="s">
        <v>637</v>
      </c>
      <c r="E421" s="8" t="s">
        <v>23</v>
      </c>
      <c r="F421" s="44">
        <f t="shared" si="38"/>
        <v>196.375</v>
      </c>
      <c r="G421" s="44">
        <v>0</v>
      </c>
      <c r="H421" s="44">
        <v>0</v>
      </c>
      <c r="I421" s="44">
        <v>196.375</v>
      </c>
      <c r="J421" s="44">
        <v>0</v>
      </c>
      <c r="K421" s="28" t="s">
        <v>291</v>
      </c>
    </row>
    <row r="422" spans="1:11" s="30" customFormat="1" ht="30" x14ac:dyDescent="0.25">
      <c r="A422" s="2">
        <v>3</v>
      </c>
      <c r="B422" s="206"/>
      <c r="C422" s="23" t="s">
        <v>642</v>
      </c>
      <c r="D422" s="8" t="s">
        <v>639</v>
      </c>
      <c r="E422" s="8" t="s">
        <v>23</v>
      </c>
      <c r="F422" s="44">
        <f t="shared" si="38"/>
        <v>1005.17</v>
      </c>
      <c r="G422" s="44">
        <v>0</v>
      </c>
      <c r="H422" s="44">
        <v>0</v>
      </c>
      <c r="I422" s="44">
        <v>1005.17</v>
      </c>
      <c r="J422" s="44">
        <v>0</v>
      </c>
      <c r="K422" s="28" t="s">
        <v>1222</v>
      </c>
    </row>
    <row r="423" spans="1:11" s="34" customFormat="1" ht="28.15" customHeight="1" x14ac:dyDescent="0.25">
      <c r="A423" s="172" t="s">
        <v>1220</v>
      </c>
      <c r="B423" s="172"/>
      <c r="C423" s="172"/>
      <c r="D423" s="20"/>
      <c r="E423" s="20"/>
      <c r="F423" s="61">
        <f>SUM(F420:F422)</f>
        <v>1750.5450000000001</v>
      </c>
      <c r="G423" s="44">
        <v>0</v>
      </c>
      <c r="H423" s="44">
        <v>0</v>
      </c>
      <c r="I423" s="33">
        <f>SUM(I420:I422)</f>
        <v>1750.5450000000001</v>
      </c>
      <c r="J423" s="44">
        <v>0</v>
      </c>
      <c r="K423" s="45"/>
    </row>
    <row r="424" spans="1:11" s="30" customFormat="1" ht="43.9" customHeight="1" x14ac:dyDescent="0.25">
      <c r="A424" s="2">
        <v>1</v>
      </c>
      <c r="B424" s="161" t="s">
        <v>643</v>
      </c>
      <c r="C424" s="23" t="s">
        <v>644</v>
      </c>
      <c r="D424" s="8" t="s">
        <v>645</v>
      </c>
      <c r="E424" s="8" t="s">
        <v>646</v>
      </c>
      <c r="F424" s="42">
        <f>G424+H424+I424+J424</f>
        <v>233.27501999999998</v>
      </c>
      <c r="G424" s="44">
        <v>233.27501999999998</v>
      </c>
      <c r="H424" s="29">
        <v>0</v>
      </c>
      <c r="I424" s="29">
        <v>0</v>
      </c>
      <c r="J424" s="29">
        <v>0</v>
      </c>
      <c r="K424" s="28" t="s">
        <v>418</v>
      </c>
    </row>
    <row r="425" spans="1:11" s="30" customFormat="1" ht="33" customHeight="1" x14ac:dyDescent="0.25">
      <c r="A425" s="2">
        <v>2</v>
      </c>
      <c r="B425" s="163"/>
      <c r="C425" s="23" t="s">
        <v>647</v>
      </c>
      <c r="D425" s="8" t="s">
        <v>648</v>
      </c>
      <c r="E425" s="8" t="s">
        <v>646</v>
      </c>
      <c r="F425" s="42">
        <f t="shared" ref="F425:F446" si="39">G425+H425+I425+J425</f>
        <v>701.85050999999999</v>
      </c>
      <c r="G425" s="49">
        <v>0</v>
      </c>
      <c r="H425" s="44">
        <f>455550.33/1000</f>
        <v>455.55033000000003</v>
      </c>
      <c r="I425" s="29">
        <v>246.30017999999998</v>
      </c>
      <c r="J425" s="29">
        <v>0</v>
      </c>
      <c r="K425" s="28" t="s">
        <v>54</v>
      </c>
    </row>
    <row r="426" spans="1:11" s="34" customFormat="1" ht="28.15" customHeight="1" x14ac:dyDescent="0.25">
      <c r="A426" s="188" t="s">
        <v>1221</v>
      </c>
      <c r="B426" s="189"/>
      <c r="C426" s="190"/>
      <c r="D426" s="37"/>
      <c r="E426" s="20"/>
      <c r="F426" s="54">
        <f>SUM(F424:F425)</f>
        <v>935.12553000000003</v>
      </c>
      <c r="G426" s="33">
        <f>SUM(G424:G425)</f>
        <v>233.27501999999998</v>
      </c>
      <c r="H426" s="33">
        <f>SUM(H424:H425)</f>
        <v>455.55033000000003</v>
      </c>
      <c r="I426" s="33">
        <f>SUM(I424:I425)</f>
        <v>246.30017999999998</v>
      </c>
      <c r="J426" s="33">
        <f>SUM(J424:J425)</f>
        <v>0</v>
      </c>
      <c r="K426" s="45"/>
    </row>
    <row r="427" spans="1:11" s="30" customFormat="1" ht="27" customHeight="1" x14ac:dyDescent="0.25">
      <c r="A427" s="2">
        <v>1</v>
      </c>
      <c r="B427" s="161" t="s">
        <v>643</v>
      </c>
      <c r="C427" s="23" t="s">
        <v>649</v>
      </c>
      <c r="D427" s="8" t="s">
        <v>650</v>
      </c>
      <c r="E427" s="8" t="s">
        <v>646</v>
      </c>
      <c r="F427" s="42">
        <f t="shared" si="39"/>
        <v>1685</v>
      </c>
      <c r="G427" s="36">
        <v>0</v>
      </c>
      <c r="H427" s="29">
        <v>1685</v>
      </c>
      <c r="I427" s="29">
        <v>0</v>
      </c>
      <c r="J427" s="36">
        <v>0</v>
      </c>
      <c r="K427" s="28" t="s">
        <v>284</v>
      </c>
    </row>
    <row r="428" spans="1:11" s="30" customFormat="1" ht="27" customHeight="1" x14ac:dyDescent="0.25">
      <c r="A428" s="2">
        <v>2</v>
      </c>
      <c r="B428" s="162"/>
      <c r="C428" s="23" t="s">
        <v>651</v>
      </c>
      <c r="D428" s="8" t="s">
        <v>652</v>
      </c>
      <c r="E428" s="8" t="s">
        <v>646</v>
      </c>
      <c r="F428" s="42">
        <f t="shared" si="39"/>
        <v>340.92</v>
      </c>
      <c r="G428" s="36">
        <v>0</v>
      </c>
      <c r="H428" s="44">
        <f>340920/1000</f>
        <v>340.92</v>
      </c>
      <c r="I428" s="29">
        <v>0</v>
      </c>
      <c r="J428" s="36">
        <v>0</v>
      </c>
      <c r="K428" s="28" t="s">
        <v>284</v>
      </c>
    </row>
    <row r="429" spans="1:11" s="30" customFormat="1" ht="27" customHeight="1" x14ac:dyDescent="0.25">
      <c r="A429" s="2">
        <v>3</v>
      </c>
      <c r="B429" s="162"/>
      <c r="C429" s="23" t="s">
        <v>653</v>
      </c>
      <c r="D429" s="8" t="s">
        <v>654</v>
      </c>
      <c r="E429" s="8" t="s">
        <v>646</v>
      </c>
      <c r="F429" s="42">
        <f t="shared" si="39"/>
        <v>62.53</v>
      </c>
      <c r="G429" s="36">
        <v>0</v>
      </c>
      <c r="H429" s="44">
        <f>62530/1000</f>
        <v>62.53</v>
      </c>
      <c r="I429" s="29">
        <v>0</v>
      </c>
      <c r="J429" s="36">
        <v>0</v>
      </c>
      <c r="K429" s="28" t="s">
        <v>284</v>
      </c>
    </row>
    <row r="430" spans="1:11" s="30" customFormat="1" ht="31.15" customHeight="1" x14ac:dyDescent="0.25">
      <c r="A430" s="2">
        <v>4</v>
      </c>
      <c r="B430" s="162"/>
      <c r="C430" s="23" t="s">
        <v>655</v>
      </c>
      <c r="D430" s="8" t="s">
        <v>656</v>
      </c>
      <c r="E430" s="8" t="s">
        <v>26</v>
      </c>
      <c r="F430" s="42">
        <f t="shared" si="39"/>
        <v>3100</v>
      </c>
      <c r="G430" s="36">
        <v>0</v>
      </c>
      <c r="H430" s="29">
        <f>3100000/1000</f>
        <v>3100</v>
      </c>
      <c r="I430" s="29">
        <v>0</v>
      </c>
      <c r="J430" s="36">
        <v>0</v>
      </c>
      <c r="K430" s="28" t="s">
        <v>284</v>
      </c>
    </row>
    <row r="431" spans="1:11" s="30" customFormat="1" ht="42" customHeight="1" x14ac:dyDescent="0.25">
      <c r="A431" s="2">
        <v>5</v>
      </c>
      <c r="B431" s="163"/>
      <c r="C431" s="23" t="s">
        <v>657</v>
      </c>
      <c r="D431" s="8" t="s">
        <v>658</v>
      </c>
      <c r="E431" s="8" t="s">
        <v>646</v>
      </c>
      <c r="F431" s="42">
        <f t="shared" si="39"/>
        <v>233.27501999999998</v>
      </c>
      <c r="G431" s="36">
        <v>0</v>
      </c>
      <c r="H431" s="29">
        <f>233275.02/1000</f>
        <v>233.27501999999998</v>
      </c>
      <c r="I431" s="29">
        <v>0</v>
      </c>
      <c r="J431" s="36">
        <v>0</v>
      </c>
      <c r="K431" s="28" t="s">
        <v>428</v>
      </c>
    </row>
    <row r="432" spans="1:11" s="34" customFormat="1" ht="34.9" customHeight="1" x14ac:dyDescent="0.25">
      <c r="A432" s="172" t="s">
        <v>1223</v>
      </c>
      <c r="B432" s="172"/>
      <c r="C432" s="172"/>
      <c r="D432" s="20"/>
      <c r="E432" s="20"/>
      <c r="F432" s="54">
        <f t="shared" si="39"/>
        <v>5421.7250200000008</v>
      </c>
      <c r="G432" s="33">
        <f>SUM(G427:G431)</f>
        <v>0</v>
      </c>
      <c r="H432" s="33">
        <f>SUM(H427:H431)</f>
        <v>5421.7250200000008</v>
      </c>
      <c r="I432" s="33">
        <f>SUM(I427:I431)</f>
        <v>0</v>
      </c>
      <c r="J432" s="33">
        <f>SUM(J427:J431)</f>
        <v>0</v>
      </c>
      <c r="K432" s="45"/>
    </row>
    <row r="433" spans="1:11" s="30" customFormat="1" ht="29.45" customHeight="1" x14ac:dyDescent="0.25">
      <c r="A433" s="2">
        <v>1</v>
      </c>
      <c r="B433" s="161" t="s">
        <v>643</v>
      </c>
      <c r="C433" s="23" t="s">
        <v>660</v>
      </c>
      <c r="D433" s="8" t="s">
        <v>661</v>
      </c>
      <c r="E433" s="8" t="s">
        <v>646</v>
      </c>
      <c r="F433" s="42">
        <f t="shared" si="39"/>
        <v>340.92</v>
      </c>
      <c r="G433" s="36">
        <v>0</v>
      </c>
      <c r="H433" s="36">
        <v>0</v>
      </c>
      <c r="I433" s="36">
        <f>340920/1000</f>
        <v>340.92</v>
      </c>
      <c r="J433" s="36">
        <v>0</v>
      </c>
      <c r="K433" s="28" t="s">
        <v>262</v>
      </c>
    </row>
    <row r="434" spans="1:11" s="30" customFormat="1" ht="29.45" customHeight="1" x14ac:dyDescent="0.25">
      <c r="A434" s="2">
        <v>2</v>
      </c>
      <c r="B434" s="162"/>
      <c r="C434" s="23" t="s">
        <v>662</v>
      </c>
      <c r="D434" s="8" t="s">
        <v>663</v>
      </c>
      <c r="E434" s="8" t="s">
        <v>646</v>
      </c>
      <c r="F434" s="42">
        <f t="shared" si="39"/>
        <v>62.53</v>
      </c>
      <c r="G434" s="36">
        <v>0</v>
      </c>
      <c r="H434" s="36">
        <v>0</v>
      </c>
      <c r="I434" s="36">
        <f>62530/1000</f>
        <v>62.53</v>
      </c>
      <c r="J434" s="36">
        <v>0</v>
      </c>
      <c r="K434" s="28" t="s">
        <v>262</v>
      </c>
    </row>
    <row r="435" spans="1:11" s="30" customFormat="1" ht="49.15" customHeight="1" x14ac:dyDescent="0.25">
      <c r="A435" s="2">
        <v>3</v>
      </c>
      <c r="B435" s="162"/>
      <c r="C435" s="23" t="s">
        <v>664</v>
      </c>
      <c r="D435" s="8" t="s">
        <v>665</v>
      </c>
      <c r="E435" s="8" t="s">
        <v>646</v>
      </c>
      <c r="F435" s="42">
        <f t="shared" si="39"/>
        <v>233.27501999999998</v>
      </c>
      <c r="G435" s="36">
        <v>0</v>
      </c>
      <c r="H435" s="36">
        <v>0</v>
      </c>
      <c r="I435" s="36">
        <f>233275.02/1000</f>
        <v>233.27501999999998</v>
      </c>
      <c r="J435" s="36">
        <v>0</v>
      </c>
      <c r="K435" s="28" t="s">
        <v>666</v>
      </c>
    </row>
    <row r="436" spans="1:11" s="30" customFormat="1" ht="32.450000000000003" customHeight="1" x14ac:dyDescent="0.25">
      <c r="A436" s="2">
        <v>4</v>
      </c>
      <c r="B436" s="162"/>
      <c r="C436" s="23" t="s">
        <v>667</v>
      </c>
      <c r="D436" s="8" t="s">
        <v>668</v>
      </c>
      <c r="E436" s="8" t="s">
        <v>646</v>
      </c>
      <c r="F436" s="42">
        <f t="shared" si="39"/>
        <v>1685</v>
      </c>
      <c r="G436" s="36">
        <v>0</v>
      </c>
      <c r="H436" s="36">
        <v>0</v>
      </c>
      <c r="I436" s="36">
        <f>1685000/1000</f>
        <v>1685</v>
      </c>
      <c r="J436" s="36">
        <v>0</v>
      </c>
      <c r="K436" s="28" t="s">
        <v>262</v>
      </c>
    </row>
    <row r="437" spans="1:11" s="30" customFormat="1" ht="35.450000000000003" customHeight="1" x14ac:dyDescent="0.25">
      <c r="A437" s="2">
        <v>5</v>
      </c>
      <c r="B437" s="162"/>
      <c r="C437" s="23" t="s">
        <v>669</v>
      </c>
      <c r="D437" s="8" t="s">
        <v>670</v>
      </c>
      <c r="E437" s="8" t="s">
        <v>26</v>
      </c>
      <c r="F437" s="42">
        <f t="shared" si="39"/>
        <v>3100</v>
      </c>
      <c r="G437" s="36">
        <v>0</v>
      </c>
      <c r="H437" s="36">
        <v>0</v>
      </c>
      <c r="I437" s="36">
        <f>3100000/1000</f>
        <v>3100</v>
      </c>
      <c r="J437" s="36">
        <v>0</v>
      </c>
      <c r="K437" s="28" t="s">
        <v>262</v>
      </c>
    </row>
    <row r="438" spans="1:11" s="30" customFormat="1" ht="27" customHeight="1" x14ac:dyDescent="0.25">
      <c r="A438" s="2">
        <v>6</v>
      </c>
      <c r="B438" s="162"/>
      <c r="C438" s="23" t="s">
        <v>671</v>
      </c>
      <c r="D438" s="8" t="s">
        <v>672</v>
      </c>
      <c r="E438" s="8" t="s">
        <v>646</v>
      </c>
      <c r="F438" s="42">
        <f t="shared" si="39"/>
        <v>492.70312999999999</v>
      </c>
      <c r="G438" s="36">
        <v>0</v>
      </c>
      <c r="H438" s="36">
        <v>0</v>
      </c>
      <c r="I438" s="36">
        <f>492703.13/1000</f>
        <v>492.70312999999999</v>
      </c>
      <c r="J438" s="36">
        <v>0</v>
      </c>
      <c r="K438" s="28" t="s">
        <v>262</v>
      </c>
    </row>
    <row r="439" spans="1:11" s="30" customFormat="1" ht="35.450000000000003" customHeight="1" x14ac:dyDescent="0.25">
      <c r="A439" s="2">
        <v>7</v>
      </c>
      <c r="B439" s="162"/>
      <c r="C439" s="23" t="s">
        <v>673</v>
      </c>
      <c r="D439" s="8" t="s">
        <v>674</v>
      </c>
      <c r="E439" s="8" t="s">
        <v>646</v>
      </c>
      <c r="F439" s="42">
        <f t="shared" si="39"/>
        <v>44.993400000000001</v>
      </c>
      <c r="G439" s="36">
        <v>0</v>
      </c>
      <c r="H439" s="36">
        <v>0</v>
      </c>
      <c r="I439" s="36">
        <f>44993.4/1000</f>
        <v>44.993400000000001</v>
      </c>
      <c r="J439" s="36">
        <v>0</v>
      </c>
      <c r="K439" s="28" t="s">
        <v>262</v>
      </c>
    </row>
    <row r="440" spans="1:11" s="30" customFormat="1" ht="35.450000000000003" customHeight="1" x14ac:dyDescent="0.25">
      <c r="A440" s="2">
        <v>8</v>
      </c>
      <c r="B440" s="162"/>
      <c r="C440" s="23" t="s">
        <v>675</v>
      </c>
      <c r="D440" s="8" t="s">
        <v>676</v>
      </c>
      <c r="E440" s="8" t="s">
        <v>646</v>
      </c>
      <c r="F440" s="42">
        <f t="shared" si="39"/>
        <v>2235.36411</v>
      </c>
      <c r="G440" s="36">
        <v>0</v>
      </c>
      <c r="H440" s="36">
        <v>0</v>
      </c>
      <c r="I440" s="36">
        <f>2235364.11/1000</f>
        <v>2235.36411</v>
      </c>
      <c r="J440" s="36">
        <v>0</v>
      </c>
      <c r="K440" s="28" t="s">
        <v>262</v>
      </c>
    </row>
    <row r="441" spans="1:11" s="30" customFormat="1" ht="53.45" customHeight="1" x14ac:dyDescent="0.25">
      <c r="A441" s="2">
        <v>9</v>
      </c>
      <c r="B441" s="162"/>
      <c r="C441" s="23" t="s">
        <v>677</v>
      </c>
      <c r="D441" s="8" t="s">
        <v>678</v>
      </c>
      <c r="E441" s="8" t="s">
        <v>646</v>
      </c>
      <c r="F441" s="42">
        <f t="shared" si="39"/>
        <v>382.21712000000002</v>
      </c>
      <c r="G441" s="36">
        <v>0</v>
      </c>
      <c r="H441" s="36">
        <v>0</v>
      </c>
      <c r="I441" s="36">
        <f>382217.12/1000</f>
        <v>382.21712000000002</v>
      </c>
      <c r="J441" s="36">
        <v>0</v>
      </c>
      <c r="K441" s="28" t="s">
        <v>262</v>
      </c>
    </row>
    <row r="442" spans="1:11" s="30" customFormat="1" ht="35.450000000000003" customHeight="1" x14ac:dyDescent="0.25">
      <c r="A442" s="2">
        <v>10</v>
      </c>
      <c r="B442" s="162"/>
      <c r="C442" s="23" t="s">
        <v>679</v>
      </c>
      <c r="D442" s="8" t="s">
        <v>680</v>
      </c>
      <c r="E442" s="8" t="s">
        <v>646</v>
      </c>
      <c r="F442" s="42">
        <f t="shared" si="39"/>
        <v>246.30017999999998</v>
      </c>
      <c r="G442" s="36">
        <v>0</v>
      </c>
      <c r="H442" s="36">
        <v>0</v>
      </c>
      <c r="I442" s="36">
        <f>246300.18/1000</f>
        <v>246.30017999999998</v>
      </c>
      <c r="J442" s="36">
        <v>0</v>
      </c>
      <c r="K442" s="28" t="s">
        <v>262</v>
      </c>
    </row>
    <row r="443" spans="1:11" s="30" customFormat="1" ht="35.450000000000003" customHeight="1" x14ac:dyDescent="0.25">
      <c r="A443" s="2">
        <v>11</v>
      </c>
      <c r="B443" s="162"/>
      <c r="C443" s="23" t="s">
        <v>681</v>
      </c>
      <c r="D443" s="8" t="s">
        <v>682</v>
      </c>
      <c r="E443" s="8" t="s">
        <v>646</v>
      </c>
      <c r="F443" s="42">
        <f t="shared" si="39"/>
        <v>982.32021999999995</v>
      </c>
      <c r="G443" s="36">
        <v>0</v>
      </c>
      <c r="H443" s="36">
        <v>0</v>
      </c>
      <c r="I443" s="36">
        <f>982320.22/1000</f>
        <v>982.32021999999995</v>
      </c>
      <c r="J443" s="36">
        <v>0</v>
      </c>
      <c r="K443" s="28" t="s">
        <v>262</v>
      </c>
    </row>
    <row r="444" spans="1:11" s="30" customFormat="1" ht="35.450000000000003" customHeight="1" x14ac:dyDescent="0.25">
      <c r="A444" s="2">
        <v>12</v>
      </c>
      <c r="B444" s="162"/>
      <c r="C444" s="23" t="s">
        <v>683</v>
      </c>
      <c r="D444" s="8" t="s">
        <v>684</v>
      </c>
      <c r="E444" s="8" t="s">
        <v>646</v>
      </c>
      <c r="F444" s="42">
        <f t="shared" si="39"/>
        <v>168.08308</v>
      </c>
      <c r="G444" s="36">
        <v>0</v>
      </c>
      <c r="H444" s="36">
        <v>0</v>
      </c>
      <c r="I444" s="36">
        <f>168083.08/1000</f>
        <v>168.08308</v>
      </c>
      <c r="J444" s="36">
        <v>0</v>
      </c>
      <c r="K444" s="28" t="s">
        <v>262</v>
      </c>
    </row>
    <row r="445" spans="1:11" s="30" customFormat="1" ht="35.450000000000003" customHeight="1" x14ac:dyDescent="0.25">
      <c r="A445" s="2">
        <v>13</v>
      </c>
      <c r="B445" s="162"/>
      <c r="C445" s="23" t="s">
        <v>685</v>
      </c>
      <c r="D445" s="8" t="s">
        <v>686</v>
      </c>
      <c r="E445" s="8" t="s">
        <v>646</v>
      </c>
      <c r="F445" s="42">
        <f t="shared" si="39"/>
        <v>131.45400000000001</v>
      </c>
      <c r="G445" s="36">
        <v>0</v>
      </c>
      <c r="H445" s="36">
        <v>0</v>
      </c>
      <c r="I445" s="36">
        <f>131454/1000</f>
        <v>131.45400000000001</v>
      </c>
      <c r="J445" s="36">
        <v>0</v>
      </c>
      <c r="K445" s="28" t="s">
        <v>262</v>
      </c>
    </row>
    <row r="446" spans="1:11" s="30" customFormat="1" ht="34.9" customHeight="1" x14ac:dyDescent="0.25">
      <c r="A446" s="2">
        <v>14</v>
      </c>
      <c r="B446" s="163"/>
      <c r="C446" s="23" t="s">
        <v>687</v>
      </c>
      <c r="D446" s="8" t="s">
        <v>688</v>
      </c>
      <c r="E446" s="8" t="s">
        <v>646</v>
      </c>
      <c r="F446" s="42">
        <f t="shared" si="39"/>
        <v>286.33999999999997</v>
      </c>
      <c r="G446" s="36">
        <v>0</v>
      </c>
      <c r="H446" s="36">
        <v>0</v>
      </c>
      <c r="I446" s="36">
        <f>286340/1000</f>
        <v>286.33999999999997</v>
      </c>
      <c r="J446" s="36">
        <v>0</v>
      </c>
      <c r="K446" s="28" t="s">
        <v>262</v>
      </c>
    </row>
    <row r="447" spans="1:11" s="34" customFormat="1" ht="25.9" customHeight="1" x14ac:dyDescent="0.25">
      <c r="A447" s="172" t="s">
        <v>1224</v>
      </c>
      <c r="B447" s="172"/>
      <c r="C447" s="172"/>
      <c r="D447" s="20"/>
      <c r="E447" s="20"/>
      <c r="F447" s="54">
        <f>SUM(F433:F446)</f>
        <v>10391.500259999999</v>
      </c>
      <c r="G447" s="33">
        <f>SUM(G433:G446)</f>
        <v>0</v>
      </c>
      <c r="H447" s="33">
        <f>SUM(H433:H446)</f>
        <v>0</v>
      </c>
      <c r="I447" s="33">
        <f>SUM(I433:I446)</f>
        <v>10391.500259999999</v>
      </c>
      <c r="J447" s="33">
        <f>SUM(J433:J446)</f>
        <v>0</v>
      </c>
      <c r="K447" s="45"/>
    </row>
    <row r="448" spans="1:11" s="64" customFormat="1" ht="29.25" customHeight="1" x14ac:dyDescent="0.25">
      <c r="A448" s="10" t="s">
        <v>689</v>
      </c>
      <c r="B448" s="161" t="s">
        <v>690</v>
      </c>
      <c r="C448" s="59" t="s">
        <v>691</v>
      </c>
      <c r="D448" s="10" t="s">
        <v>692</v>
      </c>
      <c r="E448" s="10" t="s">
        <v>23</v>
      </c>
      <c r="F448" s="60">
        <f>G448+H448+I448</f>
        <v>517.58000000000004</v>
      </c>
      <c r="G448" s="60">
        <f>517580/1000</f>
        <v>517.58000000000004</v>
      </c>
      <c r="H448" s="60">
        <v>0</v>
      </c>
      <c r="I448" s="60">
        <v>0</v>
      </c>
      <c r="J448" s="60">
        <v>0</v>
      </c>
      <c r="K448" s="63" t="s">
        <v>187</v>
      </c>
    </row>
    <row r="449" spans="1:11" s="64" customFormat="1" ht="30" x14ac:dyDescent="0.25">
      <c r="A449" s="10" t="s">
        <v>693</v>
      </c>
      <c r="B449" s="162"/>
      <c r="C449" s="59" t="s">
        <v>694</v>
      </c>
      <c r="D449" s="10" t="s">
        <v>695</v>
      </c>
      <c r="E449" s="10" t="s">
        <v>23</v>
      </c>
      <c r="F449" s="60">
        <f t="shared" ref="F449:F470" si="40">G449+H449+I449</f>
        <v>1971.8735900000001</v>
      </c>
      <c r="G449" s="60">
        <f>1971873.59/1000</f>
        <v>1971.8735900000001</v>
      </c>
      <c r="H449" s="60">
        <v>0</v>
      </c>
      <c r="I449" s="60">
        <v>0</v>
      </c>
      <c r="J449" s="60">
        <v>0</v>
      </c>
      <c r="K449" s="63" t="s">
        <v>187</v>
      </c>
    </row>
    <row r="450" spans="1:11" s="64" customFormat="1" ht="30" x14ac:dyDescent="0.25">
      <c r="A450" s="10" t="s">
        <v>12</v>
      </c>
      <c r="B450" s="162"/>
      <c r="C450" s="59" t="s">
        <v>696</v>
      </c>
      <c r="D450" s="10" t="s">
        <v>697</v>
      </c>
      <c r="E450" s="10" t="s">
        <v>23</v>
      </c>
      <c r="F450" s="60">
        <f t="shared" si="40"/>
        <v>1675.3961899999999</v>
      </c>
      <c r="G450" s="60">
        <f>1675396.19/1000</f>
        <v>1675.3961899999999</v>
      </c>
      <c r="H450" s="60">
        <v>0</v>
      </c>
      <c r="I450" s="60">
        <v>0</v>
      </c>
      <c r="J450" s="60">
        <v>0</v>
      </c>
      <c r="K450" s="63" t="s">
        <v>187</v>
      </c>
    </row>
    <row r="451" spans="1:11" s="64" customFormat="1" ht="30" x14ac:dyDescent="0.25">
      <c r="A451" s="10" t="s">
        <v>13</v>
      </c>
      <c r="B451" s="162"/>
      <c r="C451" s="59" t="s">
        <v>698</v>
      </c>
      <c r="D451" s="10" t="s">
        <v>699</v>
      </c>
      <c r="E451" s="10" t="s">
        <v>23</v>
      </c>
      <c r="F451" s="60">
        <f t="shared" si="40"/>
        <v>1278.4682499999999</v>
      </c>
      <c r="G451" s="60">
        <f>1278468.25/1000</f>
        <v>1278.4682499999999</v>
      </c>
      <c r="H451" s="60">
        <v>0</v>
      </c>
      <c r="I451" s="60">
        <v>0</v>
      </c>
      <c r="J451" s="60">
        <v>0</v>
      </c>
      <c r="K451" s="63" t="s">
        <v>187</v>
      </c>
    </row>
    <row r="452" spans="1:11" s="64" customFormat="1" ht="30" x14ac:dyDescent="0.25">
      <c r="A452" s="10" t="s">
        <v>18</v>
      </c>
      <c r="B452" s="162"/>
      <c r="C452" s="59" t="s">
        <v>700</v>
      </c>
      <c r="D452" s="10" t="s">
        <v>701</v>
      </c>
      <c r="E452" s="10" t="s">
        <v>23</v>
      </c>
      <c r="F452" s="60">
        <f t="shared" si="40"/>
        <v>755.21199999999999</v>
      </c>
      <c r="G452" s="60">
        <f>755212/1000</f>
        <v>755.21199999999999</v>
      </c>
      <c r="H452" s="60">
        <v>0</v>
      </c>
      <c r="I452" s="60">
        <v>0</v>
      </c>
      <c r="J452" s="60">
        <v>0</v>
      </c>
      <c r="K452" s="63" t="s">
        <v>187</v>
      </c>
    </row>
    <row r="453" spans="1:11" s="64" customFormat="1" ht="30" x14ac:dyDescent="0.25">
      <c r="A453" s="10" t="s">
        <v>702</v>
      </c>
      <c r="B453" s="162"/>
      <c r="C453" s="59" t="s">
        <v>703</v>
      </c>
      <c r="D453" s="10" t="s">
        <v>704</v>
      </c>
      <c r="E453" s="10" t="s">
        <v>23</v>
      </c>
      <c r="F453" s="60">
        <f t="shared" si="40"/>
        <v>1000</v>
      </c>
      <c r="G453" s="60">
        <v>0</v>
      </c>
      <c r="H453" s="60">
        <f>916666.68/1000</f>
        <v>916.66668000000004</v>
      </c>
      <c r="I453" s="60">
        <f>83333.32/1000</f>
        <v>83.333320000000001</v>
      </c>
      <c r="J453" s="60">
        <v>0</v>
      </c>
      <c r="K453" s="63" t="s">
        <v>221</v>
      </c>
    </row>
    <row r="454" spans="1:11" s="64" customFormat="1" ht="30" x14ac:dyDescent="0.25">
      <c r="A454" s="10" t="s">
        <v>705</v>
      </c>
      <c r="B454" s="162"/>
      <c r="C454" s="59" t="s">
        <v>706</v>
      </c>
      <c r="D454" s="10" t="s">
        <v>132</v>
      </c>
      <c r="E454" s="10" t="s">
        <v>23</v>
      </c>
      <c r="F454" s="60">
        <f t="shared" si="40"/>
        <v>1165.7545000000002</v>
      </c>
      <c r="G454" s="60">
        <v>0</v>
      </c>
      <c r="H454" s="60">
        <f>1068608.29/1000</f>
        <v>1068.6082900000001</v>
      </c>
      <c r="I454" s="60">
        <f>97146.21/1000</f>
        <v>97.146210000000011</v>
      </c>
      <c r="J454" s="60">
        <v>0</v>
      </c>
      <c r="K454" s="63" t="s">
        <v>221</v>
      </c>
    </row>
    <row r="455" spans="1:11" s="64" customFormat="1" ht="30" x14ac:dyDescent="0.25">
      <c r="A455" s="10" t="s">
        <v>707</v>
      </c>
      <c r="B455" s="162"/>
      <c r="C455" s="59" t="s">
        <v>708</v>
      </c>
      <c r="D455" s="10" t="s">
        <v>709</v>
      </c>
      <c r="E455" s="10" t="s">
        <v>23</v>
      </c>
      <c r="F455" s="60">
        <f t="shared" si="40"/>
        <v>143.27710999999999</v>
      </c>
      <c r="G455" s="60">
        <f>143277.11/1000</f>
        <v>143.27710999999999</v>
      </c>
      <c r="H455" s="60">
        <v>0</v>
      </c>
      <c r="I455" s="60">
        <v>0</v>
      </c>
      <c r="J455" s="60">
        <v>0</v>
      </c>
      <c r="K455" s="63" t="s">
        <v>187</v>
      </c>
    </row>
    <row r="456" spans="1:11" s="64" customFormat="1" ht="45" x14ac:dyDescent="0.25">
      <c r="A456" s="10" t="s">
        <v>710</v>
      </c>
      <c r="B456" s="162"/>
      <c r="C456" s="59" t="s">
        <v>711</v>
      </c>
      <c r="D456" s="10" t="s">
        <v>712</v>
      </c>
      <c r="E456" s="10" t="s">
        <v>23</v>
      </c>
      <c r="F456" s="60">
        <f t="shared" si="40"/>
        <v>238.90907000000001</v>
      </c>
      <c r="G456" s="60">
        <v>0</v>
      </c>
      <c r="H456" s="60">
        <f>238909.07/1000</f>
        <v>238.90907000000001</v>
      </c>
      <c r="I456" s="60">
        <v>0</v>
      </c>
      <c r="J456" s="60">
        <v>0</v>
      </c>
      <c r="K456" s="63" t="s">
        <v>713</v>
      </c>
    </row>
    <row r="457" spans="1:11" s="64" customFormat="1" ht="30" x14ac:dyDescent="0.25">
      <c r="A457" s="10" t="s">
        <v>714</v>
      </c>
      <c r="B457" s="162"/>
      <c r="C457" s="59" t="s">
        <v>715</v>
      </c>
      <c r="D457" s="10" t="s">
        <v>716</v>
      </c>
      <c r="E457" s="10" t="s">
        <v>23</v>
      </c>
      <c r="F457" s="60">
        <f t="shared" si="40"/>
        <v>93</v>
      </c>
      <c r="G457" s="60">
        <v>0</v>
      </c>
      <c r="H457" s="60">
        <f>85250/1000</f>
        <v>85.25</v>
      </c>
      <c r="I457" s="60">
        <f>7750/1000</f>
        <v>7.75</v>
      </c>
      <c r="J457" s="60">
        <v>0</v>
      </c>
      <c r="K457" s="63" t="s">
        <v>187</v>
      </c>
    </row>
    <row r="458" spans="1:11" s="64" customFormat="1" ht="30" x14ac:dyDescent="0.25">
      <c r="A458" s="10" t="s">
        <v>14</v>
      </c>
      <c r="B458" s="162"/>
      <c r="C458" s="59" t="s">
        <v>717</v>
      </c>
      <c r="D458" s="10" t="s">
        <v>718</v>
      </c>
      <c r="E458" s="10" t="s">
        <v>23</v>
      </c>
      <c r="F458" s="60">
        <f t="shared" si="40"/>
        <v>3648.2209199999998</v>
      </c>
      <c r="G458" s="60">
        <f>3648220.92/1000</f>
        <v>3648.2209199999998</v>
      </c>
      <c r="H458" s="60">
        <v>0</v>
      </c>
      <c r="I458" s="60">
        <v>0</v>
      </c>
      <c r="J458" s="60">
        <v>0</v>
      </c>
      <c r="K458" s="63" t="s">
        <v>187</v>
      </c>
    </row>
    <row r="459" spans="1:11" s="64" customFormat="1" ht="30" x14ac:dyDescent="0.25">
      <c r="A459" s="10" t="s">
        <v>719</v>
      </c>
      <c r="B459" s="162"/>
      <c r="C459" s="59" t="s">
        <v>720</v>
      </c>
      <c r="D459" s="10" t="s">
        <v>721</v>
      </c>
      <c r="E459" s="10" t="s">
        <v>23</v>
      </c>
      <c r="F459" s="60">
        <f t="shared" si="40"/>
        <v>670.43819999999994</v>
      </c>
      <c r="G459" s="60">
        <f>670438.2/1000</f>
        <v>670.43819999999994</v>
      </c>
      <c r="H459" s="60">
        <v>0</v>
      </c>
      <c r="I459" s="60">
        <v>0</v>
      </c>
      <c r="J459" s="60">
        <v>0</v>
      </c>
      <c r="K459" s="63" t="s">
        <v>187</v>
      </c>
    </row>
    <row r="460" spans="1:11" s="64" customFormat="1" ht="30" x14ac:dyDescent="0.25">
      <c r="A460" s="10" t="s">
        <v>722</v>
      </c>
      <c r="B460" s="162"/>
      <c r="C460" s="59" t="s">
        <v>723</v>
      </c>
      <c r="D460" s="10" t="s">
        <v>721</v>
      </c>
      <c r="E460" s="10" t="s">
        <v>23</v>
      </c>
      <c r="F460" s="60">
        <f t="shared" si="40"/>
        <v>670.43819999999994</v>
      </c>
      <c r="G460" s="60">
        <v>0</v>
      </c>
      <c r="H460" s="60">
        <f>670438.2/1000</f>
        <v>670.43819999999994</v>
      </c>
      <c r="I460" s="60">
        <v>0</v>
      </c>
      <c r="J460" s="60">
        <v>0</v>
      </c>
      <c r="K460" s="63" t="s">
        <v>133</v>
      </c>
    </row>
    <row r="461" spans="1:11" s="64" customFormat="1" ht="30" x14ac:dyDescent="0.25">
      <c r="A461" s="10" t="s">
        <v>724</v>
      </c>
      <c r="B461" s="162"/>
      <c r="C461" s="59" t="s">
        <v>725</v>
      </c>
      <c r="D461" s="10" t="s">
        <v>726</v>
      </c>
      <c r="E461" s="10" t="s">
        <v>23</v>
      </c>
      <c r="F461" s="60">
        <f t="shared" si="40"/>
        <v>1218.41264</v>
      </c>
      <c r="G461" s="60">
        <f>257770.21/1000</f>
        <v>257.77021000000002</v>
      </c>
      <c r="H461" s="60">
        <f>960642.43/1000</f>
        <v>960.6424300000001</v>
      </c>
      <c r="I461" s="60">
        <v>0</v>
      </c>
      <c r="J461" s="60">
        <v>0</v>
      </c>
      <c r="K461" s="63" t="s">
        <v>162</v>
      </c>
    </row>
    <row r="462" spans="1:11" s="64" customFormat="1" ht="30" x14ac:dyDescent="0.25">
      <c r="A462" s="10" t="s">
        <v>727</v>
      </c>
      <c r="B462" s="162"/>
      <c r="C462" s="59" t="s">
        <v>728</v>
      </c>
      <c r="D462" s="10" t="s">
        <v>729</v>
      </c>
      <c r="E462" s="10" t="s">
        <v>23</v>
      </c>
      <c r="F462" s="60">
        <f t="shared" si="40"/>
        <v>1618.26928</v>
      </c>
      <c r="G462" s="60">
        <v>0</v>
      </c>
      <c r="H462" s="60">
        <f>1472517.77/1000</f>
        <v>1472.5177699999999</v>
      </c>
      <c r="I462" s="60">
        <f>145751.51/1000</f>
        <v>145.75151</v>
      </c>
      <c r="J462" s="60">
        <v>0</v>
      </c>
      <c r="K462" s="63" t="s">
        <v>713</v>
      </c>
    </row>
    <row r="463" spans="1:11" s="64" customFormat="1" ht="30" x14ac:dyDescent="0.25">
      <c r="A463" s="10" t="s">
        <v>730</v>
      </c>
      <c r="B463" s="162"/>
      <c r="C463" s="59" t="s">
        <v>731</v>
      </c>
      <c r="D463" s="10" t="s">
        <v>732</v>
      </c>
      <c r="E463" s="10" t="s">
        <v>23</v>
      </c>
      <c r="F463" s="60">
        <f t="shared" si="40"/>
        <v>123.28399</v>
      </c>
      <c r="G463" s="60">
        <v>0</v>
      </c>
      <c r="H463" s="60">
        <f>108350.66/1000</f>
        <v>108.35066</v>
      </c>
      <c r="I463" s="60">
        <f>14933.33/1000</f>
        <v>14.93333</v>
      </c>
      <c r="J463" s="60">
        <v>0</v>
      </c>
      <c r="K463" s="63" t="s">
        <v>162</v>
      </c>
    </row>
    <row r="464" spans="1:11" s="64" customFormat="1" ht="60" x14ac:dyDescent="0.25">
      <c r="A464" s="10" t="s">
        <v>733</v>
      </c>
      <c r="B464" s="162"/>
      <c r="C464" s="65" t="s">
        <v>734</v>
      </c>
      <c r="D464" s="10" t="s">
        <v>735</v>
      </c>
      <c r="E464" s="10" t="s">
        <v>23</v>
      </c>
      <c r="F464" s="60">
        <f t="shared" si="40"/>
        <v>892.05000000000007</v>
      </c>
      <c r="G464" s="60">
        <v>0</v>
      </c>
      <c r="H464" s="60">
        <f>807100/1000</f>
        <v>807.1</v>
      </c>
      <c r="I464" s="60">
        <f>84950/1000</f>
        <v>84.95</v>
      </c>
      <c r="J464" s="60">
        <v>0</v>
      </c>
      <c r="K464" s="63" t="s">
        <v>187</v>
      </c>
    </row>
    <row r="465" spans="1:11" s="64" customFormat="1" ht="30" x14ac:dyDescent="0.25">
      <c r="A465" s="10" t="s">
        <v>736</v>
      </c>
      <c r="B465" s="162"/>
      <c r="C465" s="28" t="s">
        <v>737</v>
      </c>
      <c r="D465" s="10" t="s">
        <v>738</v>
      </c>
      <c r="E465" s="10" t="s">
        <v>23</v>
      </c>
      <c r="F465" s="60">
        <f t="shared" si="40"/>
        <v>921.61677999999995</v>
      </c>
      <c r="G465" s="60">
        <v>0</v>
      </c>
      <c r="H465" s="60">
        <f>856083.44/1000</f>
        <v>856.08344</v>
      </c>
      <c r="I465" s="60">
        <f>65533.34/1000</f>
        <v>65.533339999999995</v>
      </c>
      <c r="J465" s="60">
        <v>0</v>
      </c>
      <c r="K465" s="63" t="s">
        <v>133</v>
      </c>
    </row>
    <row r="466" spans="1:11" s="64" customFormat="1" ht="30" x14ac:dyDescent="0.25">
      <c r="A466" s="10" t="s">
        <v>739</v>
      </c>
      <c r="B466" s="162"/>
      <c r="C466" s="28" t="s">
        <v>740</v>
      </c>
      <c r="D466" s="10" t="s">
        <v>741</v>
      </c>
      <c r="E466" s="10" t="s">
        <v>23</v>
      </c>
      <c r="F466" s="60">
        <f t="shared" si="40"/>
        <v>308.84511999999995</v>
      </c>
      <c r="G466" s="60">
        <v>0</v>
      </c>
      <c r="H466" s="60">
        <f>283108.04/1000</f>
        <v>283.10803999999996</v>
      </c>
      <c r="I466" s="60">
        <f>25737.08/1000</f>
        <v>25.737080000000002</v>
      </c>
      <c r="J466" s="60">
        <v>0</v>
      </c>
      <c r="K466" s="63" t="s">
        <v>162</v>
      </c>
    </row>
    <row r="467" spans="1:11" s="64" customFormat="1" ht="45" x14ac:dyDescent="0.25">
      <c r="A467" s="10" t="s">
        <v>742</v>
      </c>
      <c r="B467" s="162"/>
      <c r="C467" s="28" t="s">
        <v>743</v>
      </c>
      <c r="D467" s="10" t="s">
        <v>744</v>
      </c>
      <c r="E467" s="10" t="s">
        <v>23</v>
      </c>
      <c r="F467" s="60">
        <f t="shared" si="40"/>
        <v>873.10534999999993</v>
      </c>
      <c r="G467" s="60">
        <v>0</v>
      </c>
      <c r="H467" s="60">
        <f>873105.35/1000</f>
        <v>873.10534999999993</v>
      </c>
      <c r="I467" s="60">
        <v>0</v>
      </c>
      <c r="J467" s="60">
        <v>0</v>
      </c>
      <c r="K467" s="63" t="s">
        <v>133</v>
      </c>
    </row>
    <row r="468" spans="1:11" s="64" customFormat="1" ht="60" x14ac:dyDescent="0.25">
      <c r="A468" s="10" t="s">
        <v>745</v>
      </c>
      <c r="B468" s="162"/>
      <c r="C468" s="28" t="s">
        <v>746</v>
      </c>
      <c r="D468" s="10" t="s">
        <v>747</v>
      </c>
      <c r="E468" s="10" t="s">
        <v>23</v>
      </c>
      <c r="F468" s="60">
        <f t="shared" si="40"/>
        <v>870.53567999999996</v>
      </c>
      <c r="G468" s="60">
        <v>0</v>
      </c>
      <c r="H468" s="60">
        <f>797991.04/1000</f>
        <v>797.99104</v>
      </c>
      <c r="I468" s="60">
        <f>72544.64/1000</f>
        <v>72.544640000000001</v>
      </c>
      <c r="J468" s="60">
        <v>0</v>
      </c>
      <c r="K468" s="63" t="s">
        <v>133</v>
      </c>
    </row>
    <row r="469" spans="1:11" s="64" customFormat="1" ht="30" x14ac:dyDescent="0.25">
      <c r="A469" s="10" t="s">
        <v>748</v>
      </c>
      <c r="B469" s="162"/>
      <c r="C469" s="28" t="s">
        <v>749</v>
      </c>
      <c r="D469" s="10" t="s">
        <v>296</v>
      </c>
      <c r="E469" s="10" t="s">
        <v>23</v>
      </c>
      <c r="F469" s="60">
        <f t="shared" si="40"/>
        <v>376.82639999999998</v>
      </c>
      <c r="G469" s="60">
        <v>0</v>
      </c>
      <c r="H469" s="60">
        <f>345424.2/1000</f>
        <v>345.42419999999998</v>
      </c>
      <c r="I469" s="60">
        <f>31402.2/1000</f>
        <v>31.402200000000001</v>
      </c>
      <c r="J469" s="60">
        <v>0</v>
      </c>
      <c r="K469" s="63" t="s">
        <v>221</v>
      </c>
    </row>
    <row r="470" spans="1:11" s="64" customFormat="1" ht="45" x14ac:dyDescent="0.25">
      <c r="A470" s="10" t="s">
        <v>750</v>
      </c>
      <c r="B470" s="163"/>
      <c r="C470" s="28" t="s">
        <v>751</v>
      </c>
      <c r="D470" s="10" t="s">
        <v>752</v>
      </c>
      <c r="E470" s="10" t="s">
        <v>26</v>
      </c>
      <c r="F470" s="60">
        <f t="shared" si="40"/>
        <v>2400</v>
      </c>
      <c r="G470" s="60">
        <v>0</v>
      </c>
      <c r="H470" s="60">
        <f>2200000/1000</f>
        <v>2200</v>
      </c>
      <c r="I470" s="60">
        <f>200000/1000</f>
        <v>200</v>
      </c>
      <c r="J470" s="60">
        <v>0</v>
      </c>
      <c r="K470" s="63" t="s">
        <v>713</v>
      </c>
    </row>
    <row r="471" spans="1:11" s="34" customFormat="1" ht="31.15" customHeight="1" x14ac:dyDescent="0.25">
      <c r="A471" s="188" t="s">
        <v>1225</v>
      </c>
      <c r="B471" s="189"/>
      <c r="C471" s="190"/>
      <c r="D471" s="37"/>
      <c r="E471" s="37"/>
      <c r="F471" s="66">
        <f>SUM(F448:F470)</f>
        <v>23431.513270000003</v>
      </c>
      <c r="G471" s="33">
        <f>SUM(G448:G470)</f>
        <v>10918.236470000002</v>
      </c>
      <c r="H471" s="33">
        <f>SUM(H448:H470)</f>
        <v>11684.195170000003</v>
      </c>
      <c r="I471" s="33">
        <f>SUM(I448:I470)</f>
        <v>829.08163000000002</v>
      </c>
      <c r="J471" s="33">
        <f>SUM(J448:J470)</f>
        <v>0</v>
      </c>
      <c r="K471" s="45"/>
    </row>
    <row r="472" spans="1:11" s="64" customFormat="1" ht="30" x14ac:dyDescent="0.25">
      <c r="A472" s="10" t="s">
        <v>689</v>
      </c>
      <c r="B472" s="161" t="s">
        <v>690</v>
      </c>
      <c r="C472" s="59" t="s">
        <v>753</v>
      </c>
      <c r="D472" s="10" t="s">
        <v>692</v>
      </c>
      <c r="E472" s="10" t="s">
        <v>23</v>
      </c>
      <c r="F472" s="60">
        <f>G472+H472+I472</f>
        <v>1821.7622099999999</v>
      </c>
      <c r="G472" s="60">
        <v>0</v>
      </c>
      <c r="H472" s="60">
        <f>1821762.21/1000</f>
        <v>1821.7622099999999</v>
      </c>
      <c r="I472" s="60">
        <v>0</v>
      </c>
      <c r="J472" s="60">
        <v>0</v>
      </c>
      <c r="K472" s="63" t="s">
        <v>170</v>
      </c>
    </row>
    <row r="473" spans="1:11" s="64" customFormat="1" ht="30" x14ac:dyDescent="0.25">
      <c r="A473" s="10" t="s">
        <v>693</v>
      </c>
      <c r="B473" s="162"/>
      <c r="C473" s="59" t="s">
        <v>754</v>
      </c>
      <c r="D473" s="10" t="s">
        <v>695</v>
      </c>
      <c r="E473" s="10" t="s">
        <v>23</v>
      </c>
      <c r="F473" s="60">
        <f t="shared" ref="F473:F512" si="41">G473+H473+I473</f>
        <v>971.85617000000002</v>
      </c>
      <c r="G473" s="60">
        <v>0</v>
      </c>
      <c r="H473" s="60">
        <f>971856.17/1000</f>
        <v>971.85617000000002</v>
      </c>
      <c r="I473" s="60">
        <v>0</v>
      </c>
      <c r="J473" s="60">
        <v>0</v>
      </c>
      <c r="K473" s="63" t="s">
        <v>165</v>
      </c>
    </row>
    <row r="474" spans="1:11" s="64" customFormat="1" ht="30" x14ac:dyDescent="0.25">
      <c r="A474" s="10" t="s">
        <v>12</v>
      </c>
      <c r="B474" s="162"/>
      <c r="C474" s="59" t="s">
        <v>755</v>
      </c>
      <c r="D474" s="10" t="s">
        <v>697</v>
      </c>
      <c r="E474" s="10" t="s">
        <v>23</v>
      </c>
      <c r="F474" s="60">
        <f t="shared" si="41"/>
        <v>1675.3961899999999</v>
      </c>
      <c r="G474" s="60">
        <v>0</v>
      </c>
      <c r="H474" s="60">
        <f>1675396.19/1000</f>
        <v>1675.3961899999999</v>
      </c>
      <c r="I474" s="60">
        <v>0</v>
      </c>
      <c r="J474" s="60">
        <v>0</v>
      </c>
      <c r="K474" s="63" t="s">
        <v>165</v>
      </c>
    </row>
    <row r="475" spans="1:11" s="64" customFormat="1" ht="30" x14ac:dyDescent="0.25">
      <c r="A475" s="10" t="s">
        <v>13</v>
      </c>
      <c r="B475" s="162"/>
      <c r="C475" s="59" t="s">
        <v>756</v>
      </c>
      <c r="D475" s="10" t="s">
        <v>699</v>
      </c>
      <c r="E475" s="10" t="s">
        <v>23</v>
      </c>
      <c r="F475" s="60">
        <f t="shared" si="41"/>
        <v>914.01291000000003</v>
      </c>
      <c r="G475" s="60">
        <v>0</v>
      </c>
      <c r="H475" s="60">
        <f>914012.91/1000</f>
        <v>914.01291000000003</v>
      </c>
      <c r="I475" s="60">
        <v>0</v>
      </c>
      <c r="J475" s="60">
        <v>0</v>
      </c>
      <c r="K475" s="63" t="s">
        <v>170</v>
      </c>
    </row>
    <row r="476" spans="1:11" s="64" customFormat="1" ht="30" x14ac:dyDescent="0.25">
      <c r="A476" s="10" t="s">
        <v>18</v>
      </c>
      <c r="B476" s="162"/>
      <c r="C476" s="59" t="s">
        <v>757</v>
      </c>
      <c r="D476" s="10" t="s">
        <v>449</v>
      </c>
      <c r="E476" s="10" t="s">
        <v>23</v>
      </c>
      <c r="F476" s="60">
        <f t="shared" si="41"/>
        <v>2190.3897000000002</v>
      </c>
      <c r="G476" s="60">
        <v>0</v>
      </c>
      <c r="H476" s="60">
        <f>2190389.7/1000</f>
        <v>2190.3897000000002</v>
      </c>
      <c r="I476" s="60">
        <v>0</v>
      </c>
      <c r="J476" s="60">
        <v>0</v>
      </c>
      <c r="K476" s="63" t="s">
        <v>758</v>
      </c>
    </row>
    <row r="477" spans="1:11" s="64" customFormat="1" ht="30" x14ac:dyDescent="0.25">
      <c r="A477" s="10" t="s">
        <v>702</v>
      </c>
      <c r="B477" s="162"/>
      <c r="C477" s="59" t="s">
        <v>759</v>
      </c>
      <c r="D477" s="10" t="s">
        <v>760</v>
      </c>
      <c r="E477" s="10" t="s">
        <v>23</v>
      </c>
      <c r="F477" s="60">
        <f t="shared" si="41"/>
        <v>904.32905000000005</v>
      </c>
      <c r="G477" s="60">
        <v>0</v>
      </c>
      <c r="H477" s="60">
        <f>904329.05/1000</f>
        <v>904.32905000000005</v>
      </c>
      <c r="I477" s="60">
        <v>0</v>
      </c>
      <c r="J477" s="60">
        <v>0</v>
      </c>
      <c r="K477" s="63" t="s">
        <v>142</v>
      </c>
    </row>
    <row r="478" spans="1:11" s="64" customFormat="1" ht="30" x14ac:dyDescent="0.25">
      <c r="A478" s="10" t="s">
        <v>705</v>
      </c>
      <c r="B478" s="162"/>
      <c r="C478" s="59" t="s">
        <v>761</v>
      </c>
      <c r="D478" s="10" t="s">
        <v>762</v>
      </c>
      <c r="E478" s="10" t="s">
        <v>23</v>
      </c>
      <c r="F478" s="60">
        <f t="shared" si="41"/>
        <v>174.73464000000001</v>
      </c>
      <c r="G478" s="60">
        <v>0</v>
      </c>
      <c r="H478" s="60">
        <f>174734.64/1000</f>
        <v>174.73464000000001</v>
      </c>
      <c r="I478" s="60">
        <v>0</v>
      </c>
      <c r="J478" s="60">
        <v>0</v>
      </c>
      <c r="K478" s="63" t="s">
        <v>165</v>
      </c>
    </row>
    <row r="479" spans="1:11" s="64" customFormat="1" ht="30" x14ac:dyDescent="0.25">
      <c r="A479" s="10" t="s">
        <v>707</v>
      </c>
      <c r="B479" s="162"/>
      <c r="C479" s="59" t="s">
        <v>763</v>
      </c>
      <c r="D479" s="10" t="s">
        <v>764</v>
      </c>
      <c r="E479" s="10" t="s">
        <v>23</v>
      </c>
      <c r="F479" s="60">
        <f t="shared" si="41"/>
        <v>697.97309999999993</v>
      </c>
      <c r="G479" s="60">
        <v>0</v>
      </c>
      <c r="H479" s="60">
        <f>697973.1/1000</f>
        <v>697.97309999999993</v>
      </c>
      <c r="I479" s="60">
        <v>0</v>
      </c>
      <c r="J479" s="60">
        <v>0</v>
      </c>
      <c r="K479" s="63" t="s">
        <v>170</v>
      </c>
    </row>
    <row r="480" spans="1:11" s="64" customFormat="1" ht="30" x14ac:dyDescent="0.25">
      <c r="A480" s="10" t="s">
        <v>710</v>
      </c>
      <c r="B480" s="162"/>
      <c r="C480" s="59" t="s">
        <v>765</v>
      </c>
      <c r="D480" s="10" t="s">
        <v>766</v>
      </c>
      <c r="E480" s="10" t="s">
        <v>23</v>
      </c>
      <c r="F480" s="60">
        <f t="shared" si="41"/>
        <v>78.58</v>
      </c>
      <c r="G480" s="60">
        <v>0</v>
      </c>
      <c r="H480" s="60">
        <f>78580/1000</f>
        <v>78.58</v>
      </c>
      <c r="I480" s="60">
        <v>0</v>
      </c>
      <c r="J480" s="60">
        <v>0</v>
      </c>
      <c r="K480" s="63" t="s">
        <v>142</v>
      </c>
    </row>
    <row r="481" spans="1:11" s="64" customFormat="1" ht="30" x14ac:dyDescent="0.25">
      <c r="A481" s="10" t="s">
        <v>714</v>
      </c>
      <c r="B481" s="162"/>
      <c r="C481" s="59" t="s">
        <v>767</v>
      </c>
      <c r="D481" s="10" t="s">
        <v>768</v>
      </c>
      <c r="E481" s="10" t="s">
        <v>23</v>
      </c>
      <c r="F481" s="60">
        <f t="shared" si="41"/>
        <v>500</v>
      </c>
      <c r="G481" s="60">
        <v>0</v>
      </c>
      <c r="H481" s="60">
        <f>500000/1000</f>
        <v>500</v>
      </c>
      <c r="I481" s="60">
        <v>0</v>
      </c>
      <c r="J481" s="60">
        <v>0</v>
      </c>
      <c r="K481" s="63" t="s">
        <v>758</v>
      </c>
    </row>
    <row r="482" spans="1:11" s="64" customFormat="1" ht="30" x14ac:dyDescent="0.25">
      <c r="A482" s="10" t="s">
        <v>14</v>
      </c>
      <c r="B482" s="162"/>
      <c r="C482" s="59" t="s">
        <v>769</v>
      </c>
      <c r="D482" s="10" t="s">
        <v>770</v>
      </c>
      <c r="E482" s="10" t="s">
        <v>23</v>
      </c>
      <c r="F482" s="60">
        <f t="shared" si="41"/>
        <v>500</v>
      </c>
      <c r="G482" s="60">
        <v>0</v>
      </c>
      <c r="H482" s="60">
        <f>500000/1000</f>
        <v>500</v>
      </c>
      <c r="I482" s="60">
        <v>0</v>
      </c>
      <c r="J482" s="60">
        <v>0</v>
      </c>
      <c r="K482" s="63" t="s">
        <v>758</v>
      </c>
    </row>
    <row r="483" spans="1:11" s="64" customFormat="1" ht="45" x14ac:dyDescent="0.25">
      <c r="A483" s="10" t="s">
        <v>719</v>
      </c>
      <c r="B483" s="162"/>
      <c r="C483" s="59" t="s">
        <v>771</v>
      </c>
      <c r="D483" s="10" t="s">
        <v>772</v>
      </c>
      <c r="E483" s="10" t="s">
        <v>23</v>
      </c>
      <c r="F483" s="60">
        <f t="shared" si="41"/>
        <v>648.85996</v>
      </c>
      <c r="G483" s="60">
        <v>0</v>
      </c>
      <c r="H483" s="60">
        <f>648859.96/1000</f>
        <v>648.85996</v>
      </c>
      <c r="I483" s="60">
        <v>0</v>
      </c>
      <c r="J483" s="60">
        <v>0</v>
      </c>
      <c r="K483" s="63" t="s">
        <v>659</v>
      </c>
    </row>
    <row r="484" spans="1:11" s="64" customFormat="1" ht="30" x14ac:dyDescent="0.25">
      <c r="A484" s="10" t="s">
        <v>722</v>
      </c>
      <c r="B484" s="162"/>
      <c r="C484" s="59" t="s">
        <v>773</v>
      </c>
      <c r="D484" s="10" t="s">
        <v>774</v>
      </c>
      <c r="E484" s="10" t="s">
        <v>23</v>
      </c>
      <c r="F484" s="60">
        <f t="shared" si="41"/>
        <v>19081.399399999998</v>
      </c>
      <c r="G484" s="60">
        <v>0</v>
      </c>
      <c r="H484" s="60">
        <f>19081399.4/1000</f>
        <v>19081.399399999998</v>
      </c>
      <c r="I484" s="60">
        <v>0</v>
      </c>
      <c r="J484" s="60">
        <v>0</v>
      </c>
      <c r="K484" s="63" t="s">
        <v>142</v>
      </c>
    </row>
    <row r="485" spans="1:11" s="64" customFormat="1" ht="30" x14ac:dyDescent="0.25">
      <c r="A485" s="10" t="s">
        <v>724</v>
      </c>
      <c r="B485" s="162"/>
      <c r="C485" s="59" t="s">
        <v>775</v>
      </c>
      <c r="D485" s="10" t="s">
        <v>704</v>
      </c>
      <c r="E485" s="10" t="s">
        <v>23</v>
      </c>
      <c r="F485" s="60">
        <f t="shared" si="41"/>
        <v>916.66668000000004</v>
      </c>
      <c r="G485" s="60">
        <v>0</v>
      </c>
      <c r="H485" s="60">
        <v>0</v>
      </c>
      <c r="I485" s="60">
        <f>916666.68/1000</f>
        <v>916.66668000000004</v>
      </c>
      <c r="J485" s="60">
        <v>0</v>
      </c>
      <c r="K485" s="63" t="s">
        <v>776</v>
      </c>
    </row>
    <row r="486" spans="1:11" s="64" customFormat="1" ht="30" x14ac:dyDescent="0.25">
      <c r="A486" s="10" t="s">
        <v>727</v>
      </c>
      <c r="B486" s="162"/>
      <c r="C486" s="59" t="s">
        <v>777</v>
      </c>
      <c r="D486" s="10" t="s">
        <v>132</v>
      </c>
      <c r="E486" s="10" t="s">
        <v>23</v>
      </c>
      <c r="F486" s="60">
        <f t="shared" si="41"/>
        <v>982.72735</v>
      </c>
      <c r="G486" s="60">
        <v>0</v>
      </c>
      <c r="H486" s="60">
        <v>0</v>
      </c>
      <c r="I486" s="60">
        <f>982727.35/1000</f>
        <v>982.72735</v>
      </c>
      <c r="J486" s="60">
        <v>0</v>
      </c>
      <c r="K486" s="63" t="s">
        <v>778</v>
      </c>
    </row>
    <row r="487" spans="1:11" s="64" customFormat="1" ht="30" x14ac:dyDescent="0.25">
      <c r="A487" s="10" t="s">
        <v>730</v>
      </c>
      <c r="B487" s="162"/>
      <c r="C487" s="59" t="s">
        <v>779</v>
      </c>
      <c r="D487" s="10" t="s">
        <v>709</v>
      </c>
      <c r="E487" s="10" t="s">
        <v>23</v>
      </c>
      <c r="F487" s="60">
        <f t="shared" si="41"/>
        <v>152.09811999999999</v>
      </c>
      <c r="G487" s="60">
        <v>0</v>
      </c>
      <c r="H487" s="60">
        <f>152098.12/1000</f>
        <v>152.09811999999999</v>
      </c>
      <c r="I487" s="60">
        <v>0</v>
      </c>
      <c r="J487" s="60">
        <v>0</v>
      </c>
      <c r="K487" s="63" t="s">
        <v>165</v>
      </c>
    </row>
    <row r="488" spans="1:11" s="64" customFormat="1" ht="45" x14ac:dyDescent="0.25">
      <c r="A488" s="10" t="s">
        <v>733</v>
      </c>
      <c r="B488" s="162"/>
      <c r="C488" s="59" t="s">
        <v>780</v>
      </c>
      <c r="D488" s="10" t="s">
        <v>712</v>
      </c>
      <c r="E488" s="10" t="s">
        <v>23</v>
      </c>
      <c r="F488" s="60">
        <f t="shared" si="41"/>
        <v>195.82002</v>
      </c>
      <c r="G488" s="60">
        <v>0</v>
      </c>
      <c r="H488" s="60">
        <v>0</v>
      </c>
      <c r="I488" s="60">
        <f>195820.02/1000</f>
        <v>195.82002</v>
      </c>
      <c r="J488" s="60">
        <v>0</v>
      </c>
      <c r="K488" s="63" t="s">
        <v>776</v>
      </c>
    </row>
    <row r="489" spans="1:11" s="64" customFormat="1" ht="30" x14ac:dyDescent="0.25">
      <c r="A489" s="10" t="s">
        <v>736</v>
      </c>
      <c r="B489" s="162"/>
      <c r="C489" s="59" t="s">
        <v>781</v>
      </c>
      <c r="D489" s="10" t="s">
        <v>716</v>
      </c>
      <c r="E489" s="10" t="s">
        <v>23</v>
      </c>
      <c r="F489" s="60">
        <f t="shared" si="41"/>
        <v>85.25</v>
      </c>
      <c r="G489" s="60">
        <v>0</v>
      </c>
      <c r="H489" s="60">
        <v>0</v>
      </c>
      <c r="I489" s="60">
        <f>85250/1000</f>
        <v>85.25</v>
      </c>
      <c r="J489" s="60">
        <v>0</v>
      </c>
      <c r="K489" s="63" t="s">
        <v>142</v>
      </c>
    </row>
    <row r="490" spans="1:11" s="64" customFormat="1" ht="30" x14ac:dyDescent="0.25">
      <c r="A490" s="10" t="s">
        <v>739</v>
      </c>
      <c r="B490" s="162"/>
      <c r="C490" s="59" t="s">
        <v>782</v>
      </c>
      <c r="D490" s="10" t="s">
        <v>721</v>
      </c>
      <c r="E490" s="10" t="s">
        <v>23</v>
      </c>
      <c r="F490" s="60">
        <f t="shared" si="41"/>
        <v>670.43819999999994</v>
      </c>
      <c r="G490" s="60">
        <v>0</v>
      </c>
      <c r="H490" s="60">
        <v>0</v>
      </c>
      <c r="I490" s="60">
        <f>670438.2/1000</f>
        <v>670.43819999999994</v>
      </c>
      <c r="J490" s="60">
        <v>0</v>
      </c>
      <c r="K490" s="63" t="s">
        <v>165</v>
      </c>
    </row>
    <row r="491" spans="1:11" s="64" customFormat="1" ht="30" x14ac:dyDescent="0.25">
      <c r="A491" s="10" t="s">
        <v>742</v>
      </c>
      <c r="B491" s="162"/>
      <c r="C491" s="59" t="s">
        <v>783</v>
      </c>
      <c r="D491" s="10" t="s">
        <v>784</v>
      </c>
      <c r="E491" s="10" t="s">
        <v>23</v>
      </c>
      <c r="F491" s="60">
        <f t="shared" si="41"/>
        <v>981.71579000000008</v>
      </c>
      <c r="G491" s="60">
        <v>0</v>
      </c>
      <c r="H491" s="60">
        <f>981715.79/1000</f>
        <v>981.71579000000008</v>
      </c>
      <c r="I491" s="60">
        <v>0</v>
      </c>
      <c r="J491" s="60">
        <v>0</v>
      </c>
      <c r="K491" s="63" t="s">
        <v>165</v>
      </c>
    </row>
    <row r="492" spans="1:11" s="64" customFormat="1" ht="30" x14ac:dyDescent="0.25">
      <c r="A492" s="10" t="s">
        <v>745</v>
      </c>
      <c r="B492" s="162"/>
      <c r="C492" s="59" t="s">
        <v>785</v>
      </c>
      <c r="D492" s="10" t="s">
        <v>786</v>
      </c>
      <c r="E492" s="10" t="s">
        <v>23</v>
      </c>
      <c r="F492" s="60">
        <f t="shared" si="41"/>
        <v>803.25227000000007</v>
      </c>
      <c r="G492" s="60">
        <v>0</v>
      </c>
      <c r="H492" s="60">
        <f>39577.73/1000</f>
        <v>39.577730000000003</v>
      </c>
      <c r="I492" s="60">
        <f>763674.54/1000</f>
        <v>763.67454000000009</v>
      </c>
      <c r="J492" s="60">
        <v>0</v>
      </c>
      <c r="K492" s="63" t="s">
        <v>787</v>
      </c>
    </row>
    <row r="493" spans="1:11" s="64" customFormat="1" ht="30" x14ac:dyDescent="0.25">
      <c r="A493" s="10" t="s">
        <v>748</v>
      </c>
      <c r="B493" s="162"/>
      <c r="C493" s="59" t="s">
        <v>788</v>
      </c>
      <c r="D493" s="10" t="s">
        <v>726</v>
      </c>
      <c r="E493" s="10" t="s">
        <v>23</v>
      </c>
      <c r="F493" s="60">
        <f t="shared" si="41"/>
        <v>1974.84159</v>
      </c>
      <c r="G493" s="60">
        <v>0</v>
      </c>
      <c r="H493" s="60">
        <v>0</v>
      </c>
      <c r="I493" s="60">
        <f>1974841.59/1000</f>
        <v>1974.84159</v>
      </c>
      <c r="J493" s="60">
        <v>0</v>
      </c>
      <c r="K493" s="63" t="s">
        <v>787</v>
      </c>
    </row>
    <row r="494" spans="1:11" s="64" customFormat="1" ht="30" x14ac:dyDescent="0.25">
      <c r="A494" s="10" t="s">
        <v>750</v>
      </c>
      <c r="B494" s="162"/>
      <c r="C494" s="59" t="s">
        <v>789</v>
      </c>
      <c r="D494" s="10" t="s">
        <v>729</v>
      </c>
      <c r="E494" s="10" t="s">
        <v>23</v>
      </c>
      <c r="F494" s="60">
        <f t="shared" si="41"/>
        <v>927.51841999999999</v>
      </c>
      <c r="G494" s="60">
        <v>0</v>
      </c>
      <c r="H494" s="60">
        <v>0</v>
      </c>
      <c r="I494" s="60">
        <f>927518.42/1000</f>
        <v>927.51841999999999</v>
      </c>
      <c r="J494" s="60">
        <v>0</v>
      </c>
      <c r="K494" s="63" t="s">
        <v>778</v>
      </c>
    </row>
    <row r="495" spans="1:11" s="64" customFormat="1" ht="60" x14ac:dyDescent="0.25">
      <c r="A495" s="10" t="s">
        <v>790</v>
      </c>
      <c r="B495" s="162"/>
      <c r="C495" s="59" t="s">
        <v>791</v>
      </c>
      <c r="D495" s="10" t="s">
        <v>294</v>
      </c>
      <c r="E495" s="10" t="s">
        <v>23</v>
      </c>
      <c r="F495" s="60">
        <f t="shared" si="41"/>
        <v>596.15049999999997</v>
      </c>
      <c r="G495" s="60">
        <v>0</v>
      </c>
      <c r="H495" s="60">
        <v>0</v>
      </c>
      <c r="I495" s="60">
        <f>596150.5/1000</f>
        <v>596.15049999999997</v>
      </c>
      <c r="J495" s="60">
        <v>0</v>
      </c>
      <c r="K495" s="63" t="s">
        <v>197</v>
      </c>
    </row>
    <row r="496" spans="1:11" s="64" customFormat="1" ht="30" x14ac:dyDescent="0.25">
      <c r="A496" s="10" t="s">
        <v>792</v>
      </c>
      <c r="B496" s="162"/>
      <c r="C496" s="59" t="s">
        <v>793</v>
      </c>
      <c r="D496" s="10" t="s">
        <v>794</v>
      </c>
      <c r="E496" s="10" t="s">
        <v>23</v>
      </c>
      <c r="F496" s="60">
        <f t="shared" si="41"/>
        <v>249.93442000000002</v>
      </c>
      <c r="G496" s="60">
        <v>0</v>
      </c>
      <c r="H496" s="60">
        <f>249934.42/1000</f>
        <v>249.93442000000002</v>
      </c>
      <c r="I496" s="60">
        <v>0</v>
      </c>
      <c r="J496" s="60">
        <v>0</v>
      </c>
      <c r="K496" s="63" t="s">
        <v>142</v>
      </c>
    </row>
    <row r="497" spans="1:11" s="64" customFormat="1" ht="30" x14ac:dyDescent="0.25">
      <c r="A497" s="10" t="s">
        <v>795</v>
      </c>
      <c r="B497" s="162"/>
      <c r="C497" s="59" t="s">
        <v>796</v>
      </c>
      <c r="D497" s="10" t="s">
        <v>732</v>
      </c>
      <c r="E497" s="10" t="s">
        <v>23</v>
      </c>
      <c r="F497" s="60">
        <f t="shared" si="41"/>
        <v>109.06667</v>
      </c>
      <c r="G497" s="60">
        <v>0</v>
      </c>
      <c r="H497" s="60">
        <v>0</v>
      </c>
      <c r="I497" s="60">
        <f>109066.67/1000</f>
        <v>109.06667</v>
      </c>
      <c r="J497" s="60">
        <v>0</v>
      </c>
      <c r="K497" s="63" t="s">
        <v>197</v>
      </c>
    </row>
    <row r="498" spans="1:11" s="64" customFormat="1" ht="45" x14ac:dyDescent="0.25">
      <c r="A498" s="10" t="s">
        <v>797</v>
      </c>
      <c r="B498" s="162"/>
      <c r="C498" s="59" t="s">
        <v>798</v>
      </c>
      <c r="D498" s="10" t="s">
        <v>799</v>
      </c>
      <c r="E498" s="10" t="s">
        <v>23</v>
      </c>
      <c r="F498" s="60">
        <f t="shared" si="41"/>
        <v>487.08</v>
      </c>
      <c r="G498" s="60">
        <v>0</v>
      </c>
      <c r="H498" s="60">
        <v>0</v>
      </c>
      <c r="I498" s="60">
        <f>487080/1000</f>
        <v>487.08</v>
      </c>
      <c r="J498" s="60">
        <v>0</v>
      </c>
      <c r="K498" s="63" t="s">
        <v>787</v>
      </c>
    </row>
    <row r="499" spans="1:11" s="64" customFormat="1" ht="60" x14ac:dyDescent="0.25">
      <c r="A499" s="10" t="s">
        <v>800</v>
      </c>
      <c r="B499" s="162"/>
      <c r="C499" s="59" t="s">
        <v>801</v>
      </c>
      <c r="D499" s="10" t="s">
        <v>735</v>
      </c>
      <c r="E499" s="10" t="s">
        <v>23</v>
      </c>
      <c r="F499" s="60">
        <f t="shared" si="41"/>
        <v>807.1</v>
      </c>
      <c r="G499" s="60">
        <v>0</v>
      </c>
      <c r="H499" s="60">
        <v>0</v>
      </c>
      <c r="I499" s="60">
        <f>807100/1000</f>
        <v>807.1</v>
      </c>
      <c r="J499" s="60">
        <v>0</v>
      </c>
      <c r="K499" s="63" t="s">
        <v>787</v>
      </c>
    </row>
    <row r="500" spans="1:11" s="64" customFormat="1" ht="30" x14ac:dyDescent="0.25">
      <c r="A500" s="10" t="s">
        <v>802</v>
      </c>
      <c r="B500" s="162"/>
      <c r="C500" s="59" t="s">
        <v>803</v>
      </c>
      <c r="D500" s="10" t="s">
        <v>804</v>
      </c>
      <c r="E500" s="10" t="s">
        <v>23</v>
      </c>
      <c r="F500" s="60">
        <f t="shared" si="41"/>
        <v>275</v>
      </c>
      <c r="G500" s="60">
        <v>0</v>
      </c>
      <c r="H500" s="60">
        <v>0</v>
      </c>
      <c r="I500" s="60">
        <f>275000/1000</f>
        <v>275</v>
      </c>
      <c r="J500" s="60">
        <v>0</v>
      </c>
      <c r="K500" s="63" t="s">
        <v>170</v>
      </c>
    </row>
    <row r="501" spans="1:11" s="64" customFormat="1" ht="30" x14ac:dyDescent="0.25">
      <c r="A501" s="10" t="s">
        <v>805</v>
      </c>
      <c r="B501" s="162"/>
      <c r="C501" s="59" t="s">
        <v>806</v>
      </c>
      <c r="D501" s="10" t="s">
        <v>807</v>
      </c>
      <c r="E501" s="10" t="s">
        <v>23</v>
      </c>
      <c r="F501" s="60">
        <f t="shared" si="41"/>
        <v>66</v>
      </c>
      <c r="G501" s="60">
        <v>0</v>
      </c>
      <c r="H501" s="60">
        <v>0</v>
      </c>
      <c r="I501" s="60">
        <f>66000/1000</f>
        <v>66</v>
      </c>
      <c r="J501" s="60">
        <v>0</v>
      </c>
      <c r="K501" s="63" t="s">
        <v>170</v>
      </c>
    </row>
    <row r="502" spans="1:11" s="64" customFormat="1" ht="30" x14ac:dyDescent="0.25">
      <c r="A502" s="10" t="s">
        <v>808</v>
      </c>
      <c r="B502" s="162"/>
      <c r="C502" s="59" t="s">
        <v>809</v>
      </c>
      <c r="D502" s="10" t="s">
        <v>738</v>
      </c>
      <c r="E502" s="10" t="s">
        <v>23</v>
      </c>
      <c r="F502" s="60">
        <f t="shared" si="41"/>
        <v>856.08344</v>
      </c>
      <c r="G502" s="60">
        <v>0</v>
      </c>
      <c r="H502" s="60">
        <v>0</v>
      </c>
      <c r="I502" s="60">
        <f>856083.44/1000</f>
        <v>856.08344</v>
      </c>
      <c r="J502" s="60">
        <v>0</v>
      </c>
      <c r="K502" s="63" t="s">
        <v>197</v>
      </c>
    </row>
    <row r="503" spans="1:11" s="64" customFormat="1" ht="30" x14ac:dyDescent="0.25">
      <c r="A503" s="10" t="s">
        <v>810</v>
      </c>
      <c r="B503" s="162"/>
      <c r="C503" s="59" t="s">
        <v>811</v>
      </c>
      <c r="D503" s="10" t="s">
        <v>812</v>
      </c>
      <c r="E503" s="10" t="s">
        <v>23</v>
      </c>
      <c r="F503" s="60">
        <f t="shared" si="41"/>
        <v>913.80018000000007</v>
      </c>
      <c r="G503" s="60">
        <v>0</v>
      </c>
      <c r="H503" s="60">
        <v>0</v>
      </c>
      <c r="I503" s="60">
        <f>913800.18/1000</f>
        <v>913.80018000000007</v>
      </c>
      <c r="J503" s="60">
        <v>0</v>
      </c>
      <c r="K503" s="63" t="s">
        <v>170</v>
      </c>
    </row>
    <row r="504" spans="1:11" s="64" customFormat="1" ht="45" x14ac:dyDescent="0.25">
      <c r="A504" s="10" t="s">
        <v>813</v>
      </c>
      <c r="B504" s="162"/>
      <c r="C504" s="59" t="s">
        <v>814</v>
      </c>
      <c r="D504" s="10" t="s">
        <v>815</v>
      </c>
      <c r="E504" s="10" t="s">
        <v>23</v>
      </c>
      <c r="F504" s="60">
        <f t="shared" si="41"/>
        <v>67.180019999999999</v>
      </c>
      <c r="G504" s="60">
        <v>0</v>
      </c>
      <c r="H504" s="60">
        <f>67180.02/1000</f>
        <v>67.180019999999999</v>
      </c>
      <c r="I504" s="60">
        <v>0</v>
      </c>
      <c r="J504" s="60">
        <v>0</v>
      </c>
      <c r="K504" s="63" t="s">
        <v>758</v>
      </c>
    </row>
    <row r="505" spans="1:11" s="64" customFormat="1" ht="45" x14ac:dyDescent="0.25">
      <c r="A505" s="10" t="s">
        <v>816</v>
      </c>
      <c r="B505" s="162"/>
      <c r="C505" s="59" t="s">
        <v>817</v>
      </c>
      <c r="D505" s="10" t="s">
        <v>818</v>
      </c>
      <c r="E505" s="10" t="s">
        <v>23</v>
      </c>
      <c r="F505" s="60">
        <f t="shared" si="41"/>
        <v>1082.4833500000002</v>
      </c>
      <c r="G505" s="60">
        <v>0</v>
      </c>
      <c r="H505" s="60">
        <f>1082483.35/1000</f>
        <v>1082.4833500000002</v>
      </c>
      <c r="I505" s="60">
        <v>0</v>
      </c>
      <c r="J505" s="60">
        <v>0</v>
      </c>
      <c r="K505" s="63" t="s">
        <v>142</v>
      </c>
    </row>
    <row r="506" spans="1:11" s="64" customFormat="1" ht="30" x14ac:dyDescent="0.25">
      <c r="A506" s="10" t="s">
        <v>819</v>
      </c>
      <c r="B506" s="162"/>
      <c r="C506" s="59" t="s">
        <v>820</v>
      </c>
      <c r="D506" s="10" t="s">
        <v>741</v>
      </c>
      <c r="E506" s="10" t="s">
        <v>23</v>
      </c>
      <c r="F506" s="60">
        <f t="shared" si="41"/>
        <v>283.10803999999996</v>
      </c>
      <c r="G506" s="60">
        <v>0</v>
      </c>
      <c r="H506" s="60">
        <v>0</v>
      </c>
      <c r="I506" s="60">
        <f>283108.04/1000</f>
        <v>283.10803999999996</v>
      </c>
      <c r="J506" s="60">
        <v>0</v>
      </c>
      <c r="K506" s="63" t="s">
        <v>255</v>
      </c>
    </row>
    <row r="507" spans="1:11" s="64" customFormat="1" ht="45" x14ac:dyDescent="0.25">
      <c r="A507" s="10" t="s">
        <v>821</v>
      </c>
      <c r="B507" s="162"/>
      <c r="C507" s="59" t="s">
        <v>822</v>
      </c>
      <c r="D507" s="10" t="s">
        <v>744</v>
      </c>
      <c r="E507" s="10" t="s">
        <v>23</v>
      </c>
      <c r="F507" s="60">
        <f t="shared" si="41"/>
        <v>873.10534999999993</v>
      </c>
      <c r="G507" s="60">
        <v>0</v>
      </c>
      <c r="H507" s="60">
        <v>0</v>
      </c>
      <c r="I507" s="60">
        <f>873105.35/1000</f>
        <v>873.10534999999993</v>
      </c>
      <c r="J507" s="60">
        <v>0</v>
      </c>
      <c r="K507" s="63" t="s">
        <v>255</v>
      </c>
    </row>
    <row r="508" spans="1:11" s="64" customFormat="1" ht="45" x14ac:dyDescent="0.25">
      <c r="A508" s="10" t="s">
        <v>823</v>
      </c>
      <c r="B508" s="162"/>
      <c r="C508" s="59" t="s">
        <v>824</v>
      </c>
      <c r="D508" s="10" t="s">
        <v>825</v>
      </c>
      <c r="E508" s="10" t="s">
        <v>23</v>
      </c>
      <c r="F508" s="60">
        <f t="shared" si="41"/>
        <v>161.63831999999999</v>
      </c>
      <c r="G508" s="60">
        <v>0</v>
      </c>
      <c r="H508" s="60">
        <v>0</v>
      </c>
      <c r="I508" s="60">
        <f>161638.32/1000</f>
        <v>161.63831999999999</v>
      </c>
      <c r="J508" s="60">
        <v>0</v>
      </c>
      <c r="K508" s="63" t="s">
        <v>787</v>
      </c>
    </row>
    <row r="509" spans="1:11" s="64" customFormat="1" ht="60" x14ac:dyDescent="0.25">
      <c r="A509" s="10" t="s">
        <v>826</v>
      </c>
      <c r="B509" s="162"/>
      <c r="C509" s="59" t="s">
        <v>827</v>
      </c>
      <c r="D509" s="10" t="s">
        <v>747</v>
      </c>
      <c r="E509" s="10" t="s">
        <v>23</v>
      </c>
      <c r="F509" s="60">
        <f t="shared" si="41"/>
        <v>755.65847999999994</v>
      </c>
      <c r="G509" s="60">
        <v>0</v>
      </c>
      <c r="H509" s="60">
        <v>0</v>
      </c>
      <c r="I509" s="60">
        <f>755658.48/1000</f>
        <v>755.65847999999994</v>
      </c>
      <c r="J509" s="60">
        <v>0</v>
      </c>
      <c r="K509" s="63" t="s">
        <v>787</v>
      </c>
    </row>
    <row r="510" spans="1:11" s="64" customFormat="1" ht="30" x14ac:dyDescent="0.25">
      <c r="A510" s="10" t="s">
        <v>828</v>
      </c>
      <c r="B510" s="162"/>
      <c r="C510" s="59" t="s">
        <v>829</v>
      </c>
      <c r="D510" s="10" t="s">
        <v>296</v>
      </c>
      <c r="E510" s="10" t="s">
        <v>23</v>
      </c>
      <c r="F510" s="60">
        <f t="shared" si="41"/>
        <v>345.42419999999998</v>
      </c>
      <c r="G510" s="60">
        <v>0</v>
      </c>
      <c r="H510" s="60">
        <v>0</v>
      </c>
      <c r="I510" s="60">
        <f>345424.2/1000</f>
        <v>345.42419999999998</v>
      </c>
      <c r="J510" s="60">
        <v>0</v>
      </c>
      <c r="K510" s="63" t="s">
        <v>197</v>
      </c>
    </row>
    <row r="511" spans="1:11" s="64" customFormat="1" ht="60" x14ac:dyDescent="0.25">
      <c r="A511" s="10" t="s">
        <v>830</v>
      </c>
      <c r="B511" s="162"/>
      <c r="C511" s="59" t="s">
        <v>831</v>
      </c>
      <c r="D511" s="10" t="s">
        <v>832</v>
      </c>
      <c r="E511" s="10" t="s">
        <v>23</v>
      </c>
      <c r="F511" s="60">
        <f t="shared" si="41"/>
        <v>7731.8612200000007</v>
      </c>
      <c r="G511" s="60">
        <v>0</v>
      </c>
      <c r="H511" s="60">
        <f>2773344.24/1000</f>
        <v>2773.3442400000004</v>
      </c>
      <c r="I511" s="60">
        <f>4958516.98/1000</f>
        <v>4958.5169800000003</v>
      </c>
      <c r="J511" s="60">
        <v>0</v>
      </c>
      <c r="K511" s="63" t="s">
        <v>142</v>
      </c>
    </row>
    <row r="512" spans="1:11" s="64" customFormat="1" ht="45" x14ac:dyDescent="0.25">
      <c r="A512" s="10" t="s">
        <v>833</v>
      </c>
      <c r="B512" s="163"/>
      <c r="C512" s="59" t="s">
        <v>834</v>
      </c>
      <c r="D512" s="10" t="s">
        <v>752</v>
      </c>
      <c r="E512" s="10" t="s">
        <v>26</v>
      </c>
      <c r="F512" s="60">
        <f t="shared" si="41"/>
        <v>2400</v>
      </c>
      <c r="G512" s="60">
        <v>0</v>
      </c>
      <c r="H512" s="60">
        <v>0</v>
      </c>
      <c r="I512" s="60">
        <f>2400000/1000</f>
        <v>2400</v>
      </c>
      <c r="J512" s="60">
        <v>0</v>
      </c>
      <c r="K512" s="63" t="s">
        <v>776</v>
      </c>
    </row>
    <row r="513" spans="1:11" s="34" customFormat="1" ht="27.6" customHeight="1" x14ac:dyDescent="0.25">
      <c r="A513" s="172" t="s">
        <v>1226</v>
      </c>
      <c r="B513" s="172"/>
      <c r="C513" s="172"/>
      <c r="D513" s="96"/>
      <c r="E513" s="20"/>
      <c r="F513" s="66">
        <f>SUM(F472:F512)</f>
        <v>55910.295959999989</v>
      </c>
      <c r="G513" s="33">
        <f>SUM(G472:G512)</f>
        <v>0</v>
      </c>
      <c r="H513" s="33">
        <f t="shared" ref="H513:J513" si="42">SUM(H472:H512)</f>
        <v>35505.627</v>
      </c>
      <c r="I513" s="33">
        <f t="shared" si="42"/>
        <v>20404.668959999999</v>
      </c>
      <c r="J513" s="33">
        <f t="shared" si="42"/>
        <v>0</v>
      </c>
      <c r="K513" s="45"/>
    </row>
    <row r="514" spans="1:11" s="64" customFormat="1" ht="30" x14ac:dyDescent="0.25">
      <c r="A514" s="10" t="s">
        <v>689</v>
      </c>
      <c r="B514" s="161" t="s">
        <v>690</v>
      </c>
      <c r="C514" s="59" t="s">
        <v>835</v>
      </c>
      <c r="D514" s="10" t="s">
        <v>692</v>
      </c>
      <c r="E514" s="10" t="s">
        <v>23</v>
      </c>
      <c r="F514" s="60">
        <f>G514+H514+I514</f>
        <v>889.66949999999997</v>
      </c>
      <c r="G514" s="60">
        <v>0</v>
      </c>
      <c r="H514" s="60">
        <v>0</v>
      </c>
      <c r="I514" s="60">
        <f>889669.5/1000</f>
        <v>889.66949999999997</v>
      </c>
      <c r="J514" s="60">
        <v>0</v>
      </c>
      <c r="K514" s="63" t="s">
        <v>836</v>
      </c>
    </row>
    <row r="515" spans="1:11" s="64" customFormat="1" ht="30" x14ac:dyDescent="0.25">
      <c r="A515" s="10" t="s">
        <v>693</v>
      </c>
      <c r="B515" s="162"/>
      <c r="C515" s="59" t="s">
        <v>837</v>
      </c>
      <c r="D515" s="10" t="s">
        <v>695</v>
      </c>
      <c r="E515" s="10" t="s">
        <v>23</v>
      </c>
      <c r="F515" s="60">
        <f t="shared" ref="F515:F531" si="43">G515+H515+I515</f>
        <v>971.85617000000002</v>
      </c>
      <c r="G515" s="60">
        <v>0</v>
      </c>
      <c r="H515" s="60">
        <v>0</v>
      </c>
      <c r="I515" s="60">
        <f>971856.17/1000</f>
        <v>971.85617000000002</v>
      </c>
      <c r="J515" s="60">
        <v>0</v>
      </c>
      <c r="K515" s="63" t="s">
        <v>176</v>
      </c>
    </row>
    <row r="516" spans="1:11" s="64" customFormat="1" ht="30" x14ac:dyDescent="0.25">
      <c r="A516" s="10" t="s">
        <v>12</v>
      </c>
      <c r="B516" s="162"/>
      <c r="C516" s="59" t="s">
        <v>838</v>
      </c>
      <c r="D516" s="10" t="s">
        <v>697</v>
      </c>
      <c r="E516" s="10" t="s">
        <v>23</v>
      </c>
      <c r="F516" s="60">
        <f t="shared" si="43"/>
        <v>1675.3961899999999</v>
      </c>
      <c r="G516" s="60">
        <v>0</v>
      </c>
      <c r="H516" s="60">
        <v>0</v>
      </c>
      <c r="I516" s="60">
        <f>1675396.19/1000</f>
        <v>1675.3961899999999</v>
      </c>
      <c r="J516" s="60">
        <v>0</v>
      </c>
      <c r="K516" s="63" t="s">
        <v>839</v>
      </c>
    </row>
    <row r="517" spans="1:11" s="64" customFormat="1" ht="30" x14ac:dyDescent="0.25">
      <c r="A517" s="10" t="s">
        <v>13</v>
      </c>
      <c r="B517" s="162"/>
      <c r="C517" s="59" t="s">
        <v>840</v>
      </c>
      <c r="D517" s="10" t="s">
        <v>699</v>
      </c>
      <c r="E517" s="10" t="s">
        <v>23</v>
      </c>
      <c r="F517" s="60">
        <f t="shared" si="43"/>
        <v>914.01291000000003</v>
      </c>
      <c r="G517" s="60">
        <v>0</v>
      </c>
      <c r="H517" s="60">
        <v>0</v>
      </c>
      <c r="I517" s="60">
        <f>914012.91/1000</f>
        <v>914.01291000000003</v>
      </c>
      <c r="J517" s="60">
        <v>0</v>
      </c>
      <c r="K517" s="63" t="s">
        <v>836</v>
      </c>
    </row>
    <row r="518" spans="1:11" s="64" customFormat="1" ht="30" x14ac:dyDescent="0.25">
      <c r="A518" s="10" t="s">
        <v>18</v>
      </c>
      <c r="B518" s="162"/>
      <c r="C518" s="59" t="s">
        <v>841</v>
      </c>
      <c r="D518" s="10" t="s">
        <v>449</v>
      </c>
      <c r="E518" s="10" t="s">
        <v>23</v>
      </c>
      <c r="F518" s="60">
        <f t="shared" si="43"/>
        <v>2190.3897000000002</v>
      </c>
      <c r="G518" s="60">
        <v>0</v>
      </c>
      <c r="H518" s="60">
        <v>0</v>
      </c>
      <c r="I518" s="60">
        <f>2190389.7/1000</f>
        <v>2190.3897000000002</v>
      </c>
      <c r="J518" s="60">
        <v>0</v>
      </c>
      <c r="K518" s="63" t="s">
        <v>176</v>
      </c>
    </row>
    <row r="519" spans="1:11" s="64" customFormat="1" ht="30" x14ac:dyDescent="0.25">
      <c r="A519" s="10" t="s">
        <v>702</v>
      </c>
      <c r="B519" s="162"/>
      <c r="C519" s="59" t="s">
        <v>842</v>
      </c>
      <c r="D519" s="10" t="s">
        <v>760</v>
      </c>
      <c r="E519" s="10" t="s">
        <v>23</v>
      </c>
      <c r="F519" s="60">
        <f t="shared" si="43"/>
        <v>904.32905000000005</v>
      </c>
      <c r="G519" s="60">
        <v>0</v>
      </c>
      <c r="H519" s="60">
        <v>0</v>
      </c>
      <c r="I519" s="60">
        <f>904329.05/1000</f>
        <v>904.32905000000005</v>
      </c>
      <c r="J519" s="60">
        <v>0</v>
      </c>
      <c r="K519" s="63" t="s">
        <v>839</v>
      </c>
    </row>
    <row r="520" spans="1:11" s="64" customFormat="1" ht="30" x14ac:dyDescent="0.25">
      <c r="A520" s="10" t="s">
        <v>705</v>
      </c>
      <c r="B520" s="162"/>
      <c r="C520" s="59" t="s">
        <v>843</v>
      </c>
      <c r="D520" s="10" t="s">
        <v>762</v>
      </c>
      <c r="E520" s="10" t="s">
        <v>23</v>
      </c>
      <c r="F520" s="60">
        <f t="shared" si="43"/>
        <v>174.73464000000001</v>
      </c>
      <c r="G520" s="60">
        <v>0</v>
      </c>
      <c r="H520" s="60">
        <v>0</v>
      </c>
      <c r="I520" s="60">
        <f>174734.64/1000</f>
        <v>174.73464000000001</v>
      </c>
      <c r="J520" s="60">
        <v>0</v>
      </c>
      <c r="K520" s="63" t="s">
        <v>176</v>
      </c>
    </row>
    <row r="521" spans="1:11" s="64" customFormat="1" ht="30" x14ac:dyDescent="0.25">
      <c r="A521" s="10" t="s">
        <v>707</v>
      </c>
      <c r="B521" s="162"/>
      <c r="C521" s="59" t="s">
        <v>844</v>
      </c>
      <c r="D521" s="10" t="s">
        <v>764</v>
      </c>
      <c r="E521" s="10" t="s">
        <v>23</v>
      </c>
      <c r="F521" s="60">
        <f t="shared" si="43"/>
        <v>352.10005000000001</v>
      </c>
      <c r="G521" s="60">
        <v>0</v>
      </c>
      <c r="H521" s="60">
        <v>0</v>
      </c>
      <c r="I521" s="60">
        <f>352100.05/1000</f>
        <v>352.10005000000001</v>
      </c>
      <c r="J521" s="60">
        <v>0</v>
      </c>
      <c r="K521" s="63" t="s">
        <v>836</v>
      </c>
    </row>
    <row r="522" spans="1:11" s="64" customFormat="1" ht="30" x14ac:dyDescent="0.25">
      <c r="A522" s="10" t="s">
        <v>710</v>
      </c>
      <c r="B522" s="162"/>
      <c r="C522" s="59" t="s">
        <v>845</v>
      </c>
      <c r="D522" s="10" t="s">
        <v>766</v>
      </c>
      <c r="E522" s="10" t="s">
        <v>23</v>
      </c>
      <c r="F522" s="60">
        <f t="shared" si="43"/>
        <v>78.58</v>
      </c>
      <c r="G522" s="60">
        <v>0</v>
      </c>
      <c r="H522" s="60">
        <v>0</v>
      </c>
      <c r="I522" s="60">
        <f>78580/1000</f>
        <v>78.58</v>
      </c>
      <c r="J522" s="60">
        <v>0</v>
      </c>
      <c r="K522" s="63" t="s">
        <v>262</v>
      </c>
    </row>
    <row r="523" spans="1:11" s="64" customFormat="1" ht="30" x14ac:dyDescent="0.25">
      <c r="A523" s="10" t="s">
        <v>714</v>
      </c>
      <c r="B523" s="162"/>
      <c r="C523" s="59" t="s">
        <v>846</v>
      </c>
      <c r="D523" s="10" t="s">
        <v>768</v>
      </c>
      <c r="E523" s="10" t="s">
        <v>23</v>
      </c>
      <c r="F523" s="60">
        <f t="shared" si="43"/>
        <v>500</v>
      </c>
      <c r="G523" s="60">
        <v>0</v>
      </c>
      <c r="H523" s="60">
        <v>0</v>
      </c>
      <c r="I523" s="60">
        <f>500000/1000</f>
        <v>500</v>
      </c>
      <c r="J523" s="60">
        <v>0</v>
      </c>
      <c r="K523" s="63" t="s">
        <v>176</v>
      </c>
    </row>
    <row r="524" spans="1:11" s="64" customFormat="1" ht="30" x14ac:dyDescent="0.25">
      <c r="A524" s="10" t="s">
        <v>14</v>
      </c>
      <c r="B524" s="162"/>
      <c r="C524" s="59" t="s">
        <v>847</v>
      </c>
      <c r="D524" s="10" t="s">
        <v>770</v>
      </c>
      <c r="E524" s="10" t="s">
        <v>23</v>
      </c>
      <c r="F524" s="60">
        <f t="shared" si="43"/>
        <v>500</v>
      </c>
      <c r="G524" s="60">
        <v>0</v>
      </c>
      <c r="H524" s="60">
        <v>0</v>
      </c>
      <c r="I524" s="60">
        <f>500000/1000</f>
        <v>500</v>
      </c>
      <c r="J524" s="60">
        <v>0</v>
      </c>
      <c r="K524" s="63" t="s">
        <v>176</v>
      </c>
    </row>
    <row r="525" spans="1:11" s="64" customFormat="1" ht="45" x14ac:dyDescent="0.25">
      <c r="A525" s="10" t="s">
        <v>719</v>
      </c>
      <c r="B525" s="162"/>
      <c r="C525" s="59" t="s">
        <v>848</v>
      </c>
      <c r="D525" s="10" t="s">
        <v>772</v>
      </c>
      <c r="E525" s="10" t="s">
        <v>23</v>
      </c>
      <c r="F525" s="60">
        <f t="shared" si="43"/>
        <v>648.85996</v>
      </c>
      <c r="G525" s="60">
        <v>0</v>
      </c>
      <c r="H525" s="60">
        <v>0</v>
      </c>
      <c r="I525" s="60">
        <f>648859.96/1000</f>
        <v>648.85996</v>
      </c>
      <c r="J525" s="60">
        <v>0</v>
      </c>
      <c r="K525" s="63" t="s">
        <v>666</v>
      </c>
    </row>
    <row r="526" spans="1:11" s="64" customFormat="1" ht="30" x14ac:dyDescent="0.25">
      <c r="A526" s="10" t="s">
        <v>722</v>
      </c>
      <c r="B526" s="162"/>
      <c r="C526" s="59" t="s">
        <v>849</v>
      </c>
      <c r="D526" s="10" t="s">
        <v>774</v>
      </c>
      <c r="E526" s="10" t="s">
        <v>23</v>
      </c>
      <c r="F526" s="60">
        <f t="shared" si="43"/>
        <v>19081.399399999998</v>
      </c>
      <c r="G526" s="60">
        <v>0</v>
      </c>
      <c r="H526" s="60">
        <v>0</v>
      </c>
      <c r="I526" s="60">
        <f>19081399.4/1000</f>
        <v>19081.399399999998</v>
      </c>
      <c r="J526" s="60">
        <v>0</v>
      </c>
      <c r="K526" s="63" t="s">
        <v>262</v>
      </c>
    </row>
    <row r="527" spans="1:11" s="64" customFormat="1" ht="30" x14ac:dyDescent="0.25">
      <c r="A527" s="10" t="s">
        <v>724</v>
      </c>
      <c r="B527" s="162"/>
      <c r="C527" s="59" t="s">
        <v>850</v>
      </c>
      <c r="D527" s="10" t="s">
        <v>709</v>
      </c>
      <c r="E527" s="10" t="s">
        <v>23</v>
      </c>
      <c r="F527" s="60">
        <f t="shared" si="43"/>
        <v>152.09811999999999</v>
      </c>
      <c r="G527" s="60">
        <v>0</v>
      </c>
      <c r="H527" s="60">
        <v>0</v>
      </c>
      <c r="I527" s="60">
        <f>152098.12/1000</f>
        <v>152.09811999999999</v>
      </c>
      <c r="J527" s="60">
        <v>0</v>
      </c>
      <c r="K527" s="63" t="s">
        <v>176</v>
      </c>
    </row>
    <row r="528" spans="1:11" s="64" customFormat="1" ht="30" x14ac:dyDescent="0.25">
      <c r="A528" s="10" t="s">
        <v>727</v>
      </c>
      <c r="B528" s="162"/>
      <c r="C528" s="59" t="s">
        <v>851</v>
      </c>
      <c r="D528" s="10" t="s">
        <v>784</v>
      </c>
      <c r="E528" s="10" t="s">
        <v>23</v>
      </c>
      <c r="F528" s="60">
        <f t="shared" si="43"/>
        <v>981.71579000000008</v>
      </c>
      <c r="G528" s="60">
        <v>0</v>
      </c>
      <c r="H528" s="60">
        <v>0</v>
      </c>
      <c r="I528" s="60">
        <f>981715.79/1000</f>
        <v>981.71579000000008</v>
      </c>
      <c r="J528" s="60">
        <v>0</v>
      </c>
      <c r="K528" s="63" t="s">
        <v>176</v>
      </c>
    </row>
    <row r="529" spans="1:11" s="64" customFormat="1" ht="30" x14ac:dyDescent="0.25">
      <c r="A529" s="10" t="s">
        <v>730</v>
      </c>
      <c r="B529" s="162"/>
      <c r="C529" s="59" t="s">
        <v>852</v>
      </c>
      <c r="D529" s="10" t="s">
        <v>794</v>
      </c>
      <c r="E529" s="10" t="s">
        <v>23</v>
      </c>
      <c r="F529" s="60">
        <f t="shared" si="43"/>
        <v>249.93442000000002</v>
      </c>
      <c r="G529" s="60">
        <v>0</v>
      </c>
      <c r="H529" s="60">
        <v>0</v>
      </c>
      <c r="I529" s="60">
        <f>249934.42/1000</f>
        <v>249.93442000000002</v>
      </c>
      <c r="J529" s="60">
        <v>0</v>
      </c>
      <c r="K529" s="63" t="s">
        <v>262</v>
      </c>
    </row>
    <row r="530" spans="1:11" s="64" customFormat="1" ht="45" x14ac:dyDescent="0.25">
      <c r="A530" s="10" t="s">
        <v>733</v>
      </c>
      <c r="B530" s="162"/>
      <c r="C530" s="59" t="s">
        <v>853</v>
      </c>
      <c r="D530" s="10" t="s">
        <v>815</v>
      </c>
      <c r="E530" s="10" t="s">
        <v>23</v>
      </c>
      <c r="F530" s="60">
        <f t="shared" si="43"/>
        <v>67.180019999999999</v>
      </c>
      <c r="G530" s="60">
        <v>0</v>
      </c>
      <c r="H530" s="60">
        <v>0</v>
      </c>
      <c r="I530" s="60">
        <f>67180.02/1000</f>
        <v>67.180019999999999</v>
      </c>
      <c r="J530" s="60">
        <v>0</v>
      </c>
      <c r="K530" s="63" t="s">
        <v>839</v>
      </c>
    </row>
    <row r="531" spans="1:11" s="64" customFormat="1" ht="45" x14ac:dyDescent="0.25">
      <c r="A531" s="10" t="s">
        <v>736</v>
      </c>
      <c r="B531" s="163"/>
      <c r="C531" s="59" t="s">
        <v>854</v>
      </c>
      <c r="D531" s="10" t="s">
        <v>818</v>
      </c>
      <c r="E531" s="10" t="s">
        <v>23</v>
      </c>
      <c r="F531" s="60">
        <f t="shared" si="43"/>
        <v>1082.4833500000002</v>
      </c>
      <c r="G531" s="60">
        <v>0</v>
      </c>
      <c r="H531" s="60">
        <v>0</v>
      </c>
      <c r="I531" s="60">
        <f>1082483.35/1000</f>
        <v>1082.4833500000002</v>
      </c>
      <c r="J531" s="60">
        <v>0</v>
      </c>
      <c r="K531" s="63" t="s">
        <v>262</v>
      </c>
    </row>
    <row r="532" spans="1:11" s="34" customFormat="1" ht="27" customHeight="1" x14ac:dyDescent="0.25">
      <c r="A532" s="172" t="s">
        <v>1227</v>
      </c>
      <c r="B532" s="172"/>
      <c r="C532" s="172"/>
      <c r="D532" s="20"/>
      <c r="E532" s="20"/>
      <c r="F532" s="66">
        <f>SUM(F514:F531)</f>
        <v>31414.739269999995</v>
      </c>
      <c r="G532" s="33">
        <f>SUM(G514:G531)</f>
        <v>0</v>
      </c>
      <c r="H532" s="33">
        <f t="shared" ref="H532:J532" si="44">SUM(H514:H531)</f>
        <v>0</v>
      </c>
      <c r="I532" s="33">
        <f t="shared" si="44"/>
        <v>31414.739269999995</v>
      </c>
      <c r="J532" s="33">
        <f t="shared" si="44"/>
        <v>0</v>
      </c>
      <c r="K532" s="45"/>
    </row>
    <row r="533" spans="1:11" s="30" customFormat="1" ht="33" customHeight="1" x14ac:dyDescent="0.25">
      <c r="A533" s="2">
        <v>1</v>
      </c>
      <c r="B533" s="25" t="s">
        <v>855</v>
      </c>
      <c r="C533" s="23" t="s">
        <v>856</v>
      </c>
      <c r="D533" s="8" t="s">
        <v>857</v>
      </c>
      <c r="E533" s="8" t="s">
        <v>858</v>
      </c>
      <c r="F533" s="44">
        <f>G533+H533+I533+J533</f>
        <v>4422.6400000000003</v>
      </c>
      <c r="G533" s="44">
        <v>0</v>
      </c>
      <c r="H533" s="29">
        <v>2211.3200000000002</v>
      </c>
      <c r="I533" s="29">
        <v>2211.3200000000002</v>
      </c>
      <c r="J533" s="29">
        <v>0</v>
      </c>
      <c r="K533" s="28" t="s">
        <v>859</v>
      </c>
    </row>
    <row r="534" spans="1:11" s="34" customFormat="1" ht="33" customHeight="1" x14ac:dyDescent="0.25">
      <c r="A534" s="188" t="s">
        <v>1228</v>
      </c>
      <c r="B534" s="189"/>
      <c r="C534" s="190"/>
      <c r="D534" s="37"/>
      <c r="E534" s="37"/>
      <c r="F534" s="33">
        <f>SUM(F533:F533)</f>
        <v>4422.6400000000003</v>
      </c>
      <c r="G534" s="33">
        <f t="shared" ref="G534:J534" si="45">SUM(G533:G533)</f>
        <v>0</v>
      </c>
      <c r="H534" s="33">
        <f t="shared" si="45"/>
        <v>2211.3200000000002</v>
      </c>
      <c r="I534" s="33">
        <f t="shared" si="45"/>
        <v>2211.3200000000002</v>
      </c>
      <c r="J534" s="33">
        <f t="shared" si="45"/>
        <v>0</v>
      </c>
      <c r="K534" s="45"/>
    </row>
    <row r="535" spans="1:11" s="30" customFormat="1" ht="30" x14ac:dyDescent="0.25">
      <c r="A535" s="2">
        <v>1</v>
      </c>
      <c r="B535" s="195" t="s">
        <v>860</v>
      </c>
      <c r="C535" s="59" t="s">
        <v>861</v>
      </c>
      <c r="D535" s="10" t="s">
        <v>862</v>
      </c>
      <c r="E535" s="8" t="s">
        <v>863</v>
      </c>
      <c r="F535" s="44">
        <f>SUM(G535:J535)</f>
        <v>2700</v>
      </c>
      <c r="G535" s="44">
        <v>2700</v>
      </c>
      <c r="H535" s="29">
        <v>0</v>
      </c>
      <c r="I535" s="29">
        <v>0</v>
      </c>
      <c r="J535" s="29">
        <v>0</v>
      </c>
      <c r="K535" s="28" t="s">
        <v>864</v>
      </c>
    </row>
    <row r="536" spans="1:11" s="30" customFormat="1" ht="30" x14ac:dyDescent="0.25">
      <c r="A536" s="2">
        <v>2</v>
      </c>
      <c r="B536" s="196"/>
      <c r="C536" s="59" t="s">
        <v>865</v>
      </c>
      <c r="D536" s="10" t="s">
        <v>866</v>
      </c>
      <c r="E536" s="8" t="s">
        <v>23</v>
      </c>
      <c r="F536" s="44">
        <f t="shared" ref="F536:F541" si="46">SUM(G536:J536)</f>
        <v>1134.1500000000001</v>
      </c>
      <c r="G536" s="67">
        <v>1134.1500000000001</v>
      </c>
      <c r="H536" s="29">
        <v>0</v>
      </c>
      <c r="I536" s="29">
        <v>0</v>
      </c>
      <c r="J536" s="29">
        <v>0</v>
      </c>
      <c r="K536" s="28" t="s">
        <v>864</v>
      </c>
    </row>
    <row r="537" spans="1:11" s="30" customFormat="1" ht="30" x14ac:dyDescent="0.25">
      <c r="A537" s="2">
        <v>3</v>
      </c>
      <c r="B537" s="196"/>
      <c r="C537" s="59" t="s">
        <v>867</v>
      </c>
      <c r="D537" s="10" t="s">
        <v>868</v>
      </c>
      <c r="E537" s="8" t="s">
        <v>23</v>
      </c>
      <c r="F537" s="44">
        <f t="shared" si="46"/>
        <v>860.32</v>
      </c>
      <c r="G537" s="67">
        <v>860.32</v>
      </c>
      <c r="H537" s="29">
        <v>0</v>
      </c>
      <c r="I537" s="29">
        <v>0</v>
      </c>
      <c r="J537" s="29">
        <v>0</v>
      </c>
      <c r="K537" s="28" t="s">
        <v>864</v>
      </c>
    </row>
    <row r="538" spans="1:11" s="30" customFormat="1" ht="45" x14ac:dyDescent="0.25">
      <c r="A538" s="2">
        <v>4</v>
      </c>
      <c r="B538" s="196"/>
      <c r="C538" s="59" t="s">
        <v>869</v>
      </c>
      <c r="D538" s="10" t="s">
        <v>870</v>
      </c>
      <c r="E538" s="8" t="s">
        <v>23</v>
      </c>
      <c r="F538" s="44">
        <f t="shared" si="46"/>
        <v>5031.8599999999997</v>
      </c>
      <c r="G538" s="67">
        <v>5031.8599999999997</v>
      </c>
      <c r="H538" s="29">
        <v>0</v>
      </c>
      <c r="I538" s="29">
        <v>0</v>
      </c>
      <c r="J538" s="29">
        <v>0</v>
      </c>
      <c r="K538" s="28" t="s">
        <v>864</v>
      </c>
    </row>
    <row r="539" spans="1:11" s="30" customFormat="1" ht="30" x14ac:dyDescent="0.25">
      <c r="A539" s="2">
        <v>5</v>
      </c>
      <c r="B539" s="196"/>
      <c r="C539" s="59" t="s">
        <v>871</v>
      </c>
      <c r="D539" s="10" t="s">
        <v>872</v>
      </c>
      <c r="E539" s="8" t="s">
        <v>23</v>
      </c>
      <c r="F539" s="44">
        <f t="shared" si="46"/>
        <v>9992</v>
      </c>
      <c r="G539" s="29">
        <v>0</v>
      </c>
      <c r="H539" s="29">
        <v>9992</v>
      </c>
      <c r="I539" s="29">
        <v>0</v>
      </c>
      <c r="J539" s="29">
        <v>0</v>
      </c>
      <c r="K539" s="28" t="s">
        <v>864</v>
      </c>
    </row>
    <row r="540" spans="1:11" s="30" customFormat="1" ht="30" x14ac:dyDescent="0.25">
      <c r="A540" s="2">
        <v>6</v>
      </c>
      <c r="B540" s="196"/>
      <c r="C540" s="59" t="s">
        <v>873</v>
      </c>
      <c r="D540" s="10" t="s">
        <v>874</v>
      </c>
      <c r="E540" s="8" t="s">
        <v>23</v>
      </c>
      <c r="F540" s="44">
        <f t="shared" si="46"/>
        <v>28894.34</v>
      </c>
      <c r="G540" s="29">
        <v>0</v>
      </c>
      <c r="H540" s="36">
        <v>28894.34</v>
      </c>
      <c r="I540" s="29">
        <v>0</v>
      </c>
      <c r="J540" s="29">
        <v>0</v>
      </c>
      <c r="K540" s="28" t="s">
        <v>875</v>
      </c>
    </row>
    <row r="541" spans="1:11" s="30" customFormat="1" ht="60" x14ac:dyDescent="0.25">
      <c r="A541" s="2">
        <v>7</v>
      </c>
      <c r="B541" s="197"/>
      <c r="C541" s="59" t="s">
        <v>876</v>
      </c>
      <c r="D541" s="10" t="s">
        <v>877</v>
      </c>
      <c r="E541" s="8" t="s">
        <v>23</v>
      </c>
      <c r="F541" s="44">
        <f t="shared" si="46"/>
        <v>1920.35</v>
      </c>
      <c r="G541" s="60">
        <v>1920.35</v>
      </c>
      <c r="H541" s="29">
        <v>0</v>
      </c>
      <c r="I541" s="29">
        <v>0</v>
      </c>
      <c r="J541" s="29">
        <v>0</v>
      </c>
      <c r="K541" s="28" t="s">
        <v>864</v>
      </c>
    </row>
    <row r="542" spans="1:11" s="34" customFormat="1" ht="28.9" customHeight="1" x14ac:dyDescent="0.25">
      <c r="A542" s="188" t="s">
        <v>1229</v>
      </c>
      <c r="B542" s="189"/>
      <c r="C542" s="190"/>
      <c r="D542" s="37"/>
      <c r="E542" s="37"/>
      <c r="F542" s="33">
        <f>SUM(F535:F541)</f>
        <v>50533.02</v>
      </c>
      <c r="G542" s="33">
        <f t="shared" ref="G542:J542" si="47">SUM(G535:G541)</f>
        <v>11646.68</v>
      </c>
      <c r="H542" s="33">
        <f t="shared" si="47"/>
        <v>38886.339999999997</v>
      </c>
      <c r="I542" s="33">
        <f t="shared" si="47"/>
        <v>0</v>
      </c>
      <c r="J542" s="33">
        <f t="shared" si="47"/>
        <v>0</v>
      </c>
      <c r="K542" s="45"/>
    </row>
    <row r="543" spans="1:11" s="30" customFormat="1" ht="30" x14ac:dyDescent="0.25">
      <c r="A543" s="2">
        <v>1</v>
      </c>
      <c r="B543" s="195" t="s">
        <v>860</v>
      </c>
      <c r="C543" s="59" t="s">
        <v>878</v>
      </c>
      <c r="D543" s="10" t="s">
        <v>879</v>
      </c>
      <c r="E543" s="8" t="s">
        <v>23</v>
      </c>
      <c r="F543" s="36">
        <f>SUM(G543:J543)</f>
        <v>842.21</v>
      </c>
      <c r="G543" s="36">
        <v>0</v>
      </c>
      <c r="H543" s="29">
        <v>842.21</v>
      </c>
      <c r="I543" s="32">
        <v>0</v>
      </c>
      <c r="J543" s="32">
        <v>0</v>
      </c>
      <c r="K543" s="28" t="s">
        <v>880</v>
      </c>
    </row>
    <row r="544" spans="1:11" s="30" customFormat="1" ht="30" x14ac:dyDescent="0.25">
      <c r="A544" s="2">
        <v>2</v>
      </c>
      <c r="B544" s="196"/>
      <c r="C544" s="59" t="s">
        <v>881</v>
      </c>
      <c r="D544" s="10" t="s">
        <v>882</v>
      </c>
      <c r="E544" s="8" t="s">
        <v>23</v>
      </c>
      <c r="F544" s="36">
        <f t="shared" ref="F544:F559" si="48">SUM(G544:J544)</f>
        <v>37394.04</v>
      </c>
      <c r="G544" s="36">
        <v>0</v>
      </c>
      <c r="H544" s="29">
        <v>37394.04</v>
      </c>
      <c r="I544" s="32">
        <v>0</v>
      </c>
      <c r="J544" s="32">
        <v>0</v>
      </c>
      <c r="K544" s="28" t="s">
        <v>883</v>
      </c>
    </row>
    <row r="545" spans="1:11" s="30" customFormat="1" ht="30" x14ac:dyDescent="0.25">
      <c r="A545" s="2">
        <v>3</v>
      </c>
      <c r="B545" s="196"/>
      <c r="C545" s="59" t="s">
        <v>884</v>
      </c>
      <c r="D545" s="10" t="s">
        <v>885</v>
      </c>
      <c r="E545" s="8" t="s">
        <v>23</v>
      </c>
      <c r="F545" s="36">
        <f t="shared" si="48"/>
        <v>49422</v>
      </c>
      <c r="G545" s="36">
        <v>0</v>
      </c>
      <c r="H545" s="29">
        <v>49422</v>
      </c>
      <c r="I545" s="32">
        <v>0</v>
      </c>
      <c r="J545" s="32">
        <v>0</v>
      </c>
      <c r="K545" s="28" t="s">
        <v>883</v>
      </c>
    </row>
    <row r="546" spans="1:11" s="30" customFormat="1" ht="30" x14ac:dyDescent="0.25">
      <c r="A546" s="2">
        <v>4</v>
      </c>
      <c r="B546" s="196"/>
      <c r="C546" s="59" t="s">
        <v>886</v>
      </c>
      <c r="D546" s="10" t="s">
        <v>887</v>
      </c>
      <c r="E546" s="8" t="s">
        <v>23</v>
      </c>
      <c r="F546" s="36">
        <f t="shared" si="48"/>
        <v>597.12</v>
      </c>
      <c r="G546" s="36">
        <v>0</v>
      </c>
      <c r="H546" s="29">
        <v>597.12</v>
      </c>
      <c r="I546" s="32">
        <v>0</v>
      </c>
      <c r="J546" s="32">
        <v>0</v>
      </c>
      <c r="K546" s="28" t="s">
        <v>883</v>
      </c>
    </row>
    <row r="547" spans="1:11" s="30" customFormat="1" ht="45" x14ac:dyDescent="0.25">
      <c r="A547" s="2">
        <v>5</v>
      </c>
      <c r="B547" s="196"/>
      <c r="C547" s="59" t="s">
        <v>888</v>
      </c>
      <c r="D547" s="10" t="s">
        <v>889</v>
      </c>
      <c r="E547" s="8" t="s">
        <v>23</v>
      </c>
      <c r="F547" s="36">
        <f t="shared" si="48"/>
        <v>563.88</v>
      </c>
      <c r="G547" s="36">
        <v>0</v>
      </c>
      <c r="H547" s="29">
        <v>563.88</v>
      </c>
      <c r="I547" s="32">
        <v>0</v>
      </c>
      <c r="J547" s="32">
        <v>0</v>
      </c>
      <c r="K547" s="28" t="s">
        <v>883</v>
      </c>
    </row>
    <row r="548" spans="1:11" s="30" customFormat="1" ht="60" x14ac:dyDescent="0.25">
      <c r="A548" s="2">
        <v>6</v>
      </c>
      <c r="B548" s="196"/>
      <c r="C548" s="59" t="s">
        <v>890</v>
      </c>
      <c r="D548" s="10" t="s">
        <v>891</v>
      </c>
      <c r="E548" s="8" t="s">
        <v>23</v>
      </c>
      <c r="F548" s="36">
        <f t="shared" si="48"/>
        <v>2820.23</v>
      </c>
      <c r="G548" s="36">
        <v>0</v>
      </c>
      <c r="H548" s="60">
        <v>2820.23</v>
      </c>
      <c r="I548" s="32">
        <v>0</v>
      </c>
      <c r="J548" s="32">
        <v>0</v>
      </c>
      <c r="K548" s="28" t="s">
        <v>883</v>
      </c>
    </row>
    <row r="549" spans="1:11" s="30" customFormat="1" ht="30" x14ac:dyDescent="0.25">
      <c r="A549" s="2">
        <v>7</v>
      </c>
      <c r="B549" s="196"/>
      <c r="C549" s="59" t="s">
        <v>892</v>
      </c>
      <c r="D549" s="10" t="s">
        <v>132</v>
      </c>
      <c r="E549" s="8" t="s">
        <v>23</v>
      </c>
      <c r="F549" s="36">
        <f t="shared" si="48"/>
        <v>1554.44</v>
      </c>
      <c r="G549" s="36">
        <v>0</v>
      </c>
      <c r="H549" s="60">
        <v>1554.44</v>
      </c>
      <c r="I549" s="32">
        <v>0</v>
      </c>
      <c r="J549" s="32">
        <v>0</v>
      </c>
      <c r="K549" s="28" t="s">
        <v>883</v>
      </c>
    </row>
    <row r="550" spans="1:11" s="30" customFormat="1" ht="30" x14ac:dyDescent="0.25">
      <c r="A550" s="2">
        <v>8</v>
      </c>
      <c r="B550" s="196"/>
      <c r="C550" s="59" t="s">
        <v>893</v>
      </c>
      <c r="D550" s="10" t="s">
        <v>132</v>
      </c>
      <c r="E550" s="8" t="s">
        <v>23</v>
      </c>
      <c r="F550" s="36">
        <f t="shared" si="48"/>
        <v>157.88999999999999</v>
      </c>
      <c r="G550" s="36">
        <v>0</v>
      </c>
      <c r="H550" s="36">
        <v>157.88999999999999</v>
      </c>
      <c r="I550" s="32">
        <v>0</v>
      </c>
      <c r="J550" s="32">
        <v>0</v>
      </c>
      <c r="K550" s="28" t="s">
        <v>883</v>
      </c>
    </row>
    <row r="551" spans="1:11" s="30" customFormat="1" ht="30" x14ac:dyDescent="0.25">
      <c r="A551" s="2">
        <v>9</v>
      </c>
      <c r="B551" s="196"/>
      <c r="C551" s="59" t="s">
        <v>894</v>
      </c>
      <c r="D551" s="10" t="s">
        <v>895</v>
      </c>
      <c r="E551" s="8" t="s">
        <v>23</v>
      </c>
      <c r="F551" s="36">
        <f t="shared" si="48"/>
        <v>963.53</v>
      </c>
      <c r="G551" s="36">
        <v>0</v>
      </c>
      <c r="H551" s="36">
        <v>963.53</v>
      </c>
      <c r="I551" s="32">
        <v>0</v>
      </c>
      <c r="J551" s="32">
        <v>0</v>
      </c>
      <c r="K551" s="28" t="s">
        <v>883</v>
      </c>
    </row>
    <row r="552" spans="1:11" s="30" customFormat="1" ht="30" x14ac:dyDescent="0.25">
      <c r="A552" s="2">
        <v>10</v>
      </c>
      <c r="B552" s="196"/>
      <c r="C552" s="59" t="s">
        <v>896</v>
      </c>
      <c r="D552" s="10" t="s">
        <v>897</v>
      </c>
      <c r="E552" s="8" t="s">
        <v>23</v>
      </c>
      <c r="F552" s="36">
        <f t="shared" si="48"/>
        <v>3281.85</v>
      </c>
      <c r="G552" s="36">
        <v>0</v>
      </c>
      <c r="H552" s="36">
        <v>3281.85</v>
      </c>
      <c r="I552" s="32">
        <v>0</v>
      </c>
      <c r="J552" s="32">
        <v>0</v>
      </c>
      <c r="K552" s="28" t="s">
        <v>883</v>
      </c>
    </row>
    <row r="553" spans="1:11" s="30" customFormat="1" ht="30" x14ac:dyDescent="0.25">
      <c r="A553" s="2">
        <v>11</v>
      </c>
      <c r="B553" s="196"/>
      <c r="C553" s="59" t="s">
        <v>898</v>
      </c>
      <c r="D553" s="10" t="s">
        <v>899</v>
      </c>
      <c r="E553" s="8" t="s">
        <v>23</v>
      </c>
      <c r="F553" s="36">
        <f t="shared" si="48"/>
        <v>283.8</v>
      </c>
      <c r="G553" s="36">
        <v>0</v>
      </c>
      <c r="H553" s="60">
        <v>283.8</v>
      </c>
      <c r="I553" s="32">
        <v>0</v>
      </c>
      <c r="J553" s="32">
        <v>0</v>
      </c>
      <c r="K553" s="28" t="s">
        <v>880</v>
      </c>
    </row>
    <row r="554" spans="1:11" s="30" customFormat="1" ht="30" x14ac:dyDescent="0.25">
      <c r="A554" s="2">
        <v>12</v>
      </c>
      <c r="B554" s="196"/>
      <c r="C554" s="59" t="s">
        <v>900</v>
      </c>
      <c r="D554" s="10" t="s">
        <v>901</v>
      </c>
      <c r="E554" s="8" t="s">
        <v>23</v>
      </c>
      <c r="F554" s="36">
        <f t="shared" si="48"/>
        <v>3769.06</v>
      </c>
      <c r="G554" s="36">
        <v>0</v>
      </c>
      <c r="H554" s="60">
        <v>3769.06</v>
      </c>
      <c r="I554" s="32">
        <v>0</v>
      </c>
      <c r="J554" s="32">
        <v>0</v>
      </c>
      <c r="K554" s="28" t="s">
        <v>880</v>
      </c>
    </row>
    <row r="555" spans="1:11" s="30" customFormat="1" ht="45" x14ac:dyDescent="0.25">
      <c r="A555" s="2">
        <v>13</v>
      </c>
      <c r="B555" s="196"/>
      <c r="C555" s="59" t="s">
        <v>902</v>
      </c>
      <c r="D555" s="10" t="s">
        <v>903</v>
      </c>
      <c r="E555" s="8" t="s">
        <v>23</v>
      </c>
      <c r="F555" s="36">
        <f t="shared" si="48"/>
        <v>8701.1200000000008</v>
      </c>
      <c r="G555" s="36">
        <v>0</v>
      </c>
      <c r="H555" s="60">
        <v>8701.1200000000008</v>
      </c>
      <c r="I555" s="32">
        <v>0</v>
      </c>
      <c r="J555" s="32">
        <v>0</v>
      </c>
      <c r="K555" s="28" t="s">
        <v>880</v>
      </c>
    </row>
    <row r="556" spans="1:11" s="30" customFormat="1" ht="45" x14ac:dyDescent="0.25">
      <c r="A556" s="2">
        <v>14</v>
      </c>
      <c r="B556" s="196"/>
      <c r="C556" s="59" t="s">
        <v>904</v>
      </c>
      <c r="D556" s="10" t="s">
        <v>905</v>
      </c>
      <c r="E556" s="8" t="s">
        <v>23</v>
      </c>
      <c r="F556" s="36">
        <f t="shared" si="48"/>
        <v>16148.87</v>
      </c>
      <c r="G556" s="36">
        <v>0</v>
      </c>
      <c r="H556" s="60">
        <v>16148.87</v>
      </c>
      <c r="I556" s="32">
        <v>0</v>
      </c>
      <c r="J556" s="32">
        <v>0</v>
      </c>
      <c r="K556" s="28" t="s">
        <v>880</v>
      </c>
    </row>
    <row r="557" spans="1:11" s="30" customFormat="1" ht="30" x14ac:dyDescent="0.25">
      <c r="A557" s="2">
        <v>15</v>
      </c>
      <c r="B557" s="196"/>
      <c r="C557" s="59" t="s">
        <v>906</v>
      </c>
      <c r="D557" s="10" t="s">
        <v>907</v>
      </c>
      <c r="E557" s="8" t="s">
        <v>23</v>
      </c>
      <c r="F557" s="36">
        <f t="shared" si="48"/>
        <v>37298.699999999997</v>
      </c>
      <c r="G557" s="36">
        <v>0</v>
      </c>
      <c r="H557" s="60">
        <v>37298.699999999997</v>
      </c>
      <c r="I557" s="32">
        <v>0</v>
      </c>
      <c r="J557" s="32">
        <v>0</v>
      </c>
      <c r="K557" s="28" t="s">
        <v>880</v>
      </c>
    </row>
    <row r="558" spans="1:11" s="30" customFormat="1" ht="45" x14ac:dyDescent="0.25">
      <c r="A558" s="2">
        <v>16</v>
      </c>
      <c r="B558" s="196"/>
      <c r="C558" s="59" t="s">
        <v>908</v>
      </c>
      <c r="D558" s="10" t="s">
        <v>909</v>
      </c>
      <c r="E558" s="8" t="s">
        <v>23</v>
      </c>
      <c r="F558" s="36">
        <f t="shared" si="48"/>
        <v>2343.54</v>
      </c>
      <c r="G558" s="36">
        <v>0</v>
      </c>
      <c r="H558" s="60">
        <v>2343.54</v>
      </c>
      <c r="I558" s="32">
        <v>0</v>
      </c>
      <c r="J558" s="32">
        <v>0</v>
      </c>
      <c r="K558" s="28" t="s">
        <v>880</v>
      </c>
    </row>
    <row r="559" spans="1:11" s="30" customFormat="1" ht="30" x14ac:dyDescent="0.25">
      <c r="A559" s="2">
        <v>17</v>
      </c>
      <c r="B559" s="197"/>
      <c r="C559" s="59" t="s">
        <v>910</v>
      </c>
      <c r="D559" s="10" t="s">
        <v>911</v>
      </c>
      <c r="E559" s="8" t="s">
        <v>23</v>
      </c>
      <c r="F559" s="36">
        <f t="shared" si="48"/>
        <v>1062.95</v>
      </c>
      <c r="G559" s="36">
        <v>0</v>
      </c>
      <c r="H559" s="60">
        <v>1062.95</v>
      </c>
      <c r="I559" s="32">
        <v>0</v>
      </c>
      <c r="J559" s="32">
        <v>0</v>
      </c>
      <c r="K559" s="28" t="s">
        <v>880</v>
      </c>
    </row>
    <row r="560" spans="1:11" s="34" customFormat="1" ht="27" customHeight="1" x14ac:dyDescent="0.25">
      <c r="A560" s="172" t="s">
        <v>1230</v>
      </c>
      <c r="B560" s="172"/>
      <c r="C560" s="172"/>
      <c r="D560" s="20"/>
      <c r="E560" s="20"/>
      <c r="F560" s="33">
        <f>SUM(F543:F559)</f>
        <v>167205.23000000001</v>
      </c>
      <c r="G560" s="33">
        <f t="shared" ref="G560:J560" si="49">SUM(G543:G559)</f>
        <v>0</v>
      </c>
      <c r="H560" s="33">
        <f>SUM(H543:H559)</f>
        <v>167205.23000000001</v>
      </c>
      <c r="I560" s="33">
        <f t="shared" si="49"/>
        <v>0</v>
      </c>
      <c r="J560" s="33">
        <f t="shared" si="49"/>
        <v>0</v>
      </c>
      <c r="K560" s="45"/>
    </row>
    <row r="561" spans="1:11" s="30" customFormat="1" ht="30" x14ac:dyDescent="0.25">
      <c r="A561" s="2">
        <v>1</v>
      </c>
      <c r="B561" s="195" t="s">
        <v>860</v>
      </c>
      <c r="C561" s="59" t="s">
        <v>912</v>
      </c>
      <c r="D561" s="10" t="s">
        <v>879</v>
      </c>
      <c r="E561" s="8" t="s">
        <v>23</v>
      </c>
      <c r="F561" s="60">
        <f>SUM(G561:J561)</f>
        <v>842.21</v>
      </c>
      <c r="G561" s="36">
        <v>0</v>
      </c>
      <c r="H561" s="29">
        <v>0</v>
      </c>
      <c r="I561" s="60">
        <v>842.21</v>
      </c>
      <c r="J561" s="29">
        <v>0</v>
      </c>
      <c r="K561" s="28" t="s">
        <v>913</v>
      </c>
    </row>
    <row r="562" spans="1:11" s="30" customFormat="1" ht="30" x14ac:dyDescent="0.25">
      <c r="A562" s="2">
        <v>2</v>
      </c>
      <c r="B562" s="196"/>
      <c r="C562" s="59" t="s">
        <v>914</v>
      </c>
      <c r="D562" s="10" t="s">
        <v>882</v>
      </c>
      <c r="E562" s="8" t="s">
        <v>23</v>
      </c>
      <c r="F562" s="60">
        <f t="shared" ref="F562:F579" si="50">SUM(G562:J562)</f>
        <v>36998.99</v>
      </c>
      <c r="G562" s="36">
        <v>0</v>
      </c>
      <c r="H562" s="29">
        <v>0</v>
      </c>
      <c r="I562" s="60">
        <v>36998.99</v>
      </c>
      <c r="J562" s="29">
        <v>0</v>
      </c>
      <c r="K562" s="28" t="s">
        <v>913</v>
      </c>
    </row>
    <row r="563" spans="1:11" s="30" customFormat="1" ht="30" x14ac:dyDescent="0.25">
      <c r="A563" s="2">
        <v>3</v>
      </c>
      <c r="B563" s="196"/>
      <c r="C563" s="59" t="s">
        <v>915</v>
      </c>
      <c r="D563" s="10" t="s">
        <v>885</v>
      </c>
      <c r="E563" s="8" t="s">
        <v>23</v>
      </c>
      <c r="F563" s="60">
        <f t="shared" si="50"/>
        <v>54204.78</v>
      </c>
      <c r="G563" s="36">
        <v>0</v>
      </c>
      <c r="H563" s="29">
        <v>0</v>
      </c>
      <c r="I563" s="60">
        <v>54204.78</v>
      </c>
      <c r="J563" s="29">
        <v>0</v>
      </c>
      <c r="K563" s="28" t="s">
        <v>913</v>
      </c>
    </row>
    <row r="564" spans="1:11" s="30" customFormat="1" ht="30" x14ac:dyDescent="0.25">
      <c r="A564" s="2">
        <v>4</v>
      </c>
      <c r="B564" s="196"/>
      <c r="C564" s="59" t="s">
        <v>916</v>
      </c>
      <c r="D564" s="10" t="s">
        <v>872</v>
      </c>
      <c r="E564" s="8" t="s">
        <v>23</v>
      </c>
      <c r="F564" s="60">
        <f t="shared" si="50"/>
        <v>9992</v>
      </c>
      <c r="G564" s="36">
        <v>0</v>
      </c>
      <c r="H564" s="29">
        <v>0</v>
      </c>
      <c r="I564" s="60">
        <v>9992</v>
      </c>
      <c r="J564" s="29">
        <v>0</v>
      </c>
      <c r="K564" s="28" t="s">
        <v>913</v>
      </c>
    </row>
    <row r="565" spans="1:11" s="30" customFormat="1" ht="30" x14ac:dyDescent="0.25">
      <c r="A565" s="2">
        <v>5</v>
      </c>
      <c r="B565" s="196"/>
      <c r="C565" s="59" t="s">
        <v>917</v>
      </c>
      <c r="D565" s="10" t="s">
        <v>887</v>
      </c>
      <c r="E565" s="8" t="s">
        <v>23</v>
      </c>
      <c r="F565" s="60">
        <f t="shared" si="50"/>
        <v>597.12</v>
      </c>
      <c r="G565" s="36">
        <v>0</v>
      </c>
      <c r="H565" s="29">
        <v>0</v>
      </c>
      <c r="I565" s="60">
        <v>597.12</v>
      </c>
      <c r="J565" s="29">
        <v>0</v>
      </c>
      <c r="K565" s="28" t="s">
        <v>913</v>
      </c>
    </row>
    <row r="566" spans="1:11" s="30" customFormat="1" ht="45" x14ac:dyDescent="0.25">
      <c r="A566" s="2">
        <v>6</v>
      </c>
      <c r="B566" s="196"/>
      <c r="C566" s="59" t="s">
        <v>918</v>
      </c>
      <c r="D566" s="10" t="s">
        <v>889</v>
      </c>
      <c r="E566" s="8" t="s">
        <v>23</v>
      </c>
      <c r="F566" s="60">
        <f t="shared" si="50"/>
        <v>524.44000000000005</v>
      </c>
      <c r="G566" s="36">
        <v>0</v>
      </c>
      <c r="H566" s="29">
        <v>0</v>
      </c>
      <c r="I566" s="60">
        <v>524.44000000000005</v>
      </c>
      <c r="J566" s="29">
        <v>0</v>
      </c>
      <c r="K566" s="28" t="s">
        <v>913</v>
      </c>
    </row>
    <row r="567" spans="1:11" s="30" customFormat="1" ht="30" x14ac:dyDescent="0.25">
      <c r="A567" s="2">
        <v>7</v>
      </c>
      <c r="B567" s="196"/>
      <c r="C567" s="59" t="s">
        <v>919</v>
      </c>
      <c r="D567" s="10" t="s">
        <v>874</v>
      </c>
      <c r="E567" s="8" t="s">
        <v>23</v>
      </c>
      <c r="F567" s="60">
        <f t="shared" si="50"/>
        <v>33240.58</v>
      </c>
      <c r="G567" s="36">
        <v>0</v>
      </c>
      <c r="H567" s="29">
        <v>0</v>
      </c>
      <c r="I567" s="60">
        <v>33240.58</v>
      </c>
      <c r="J567" s="29">
        <v>0</v>
      </c>
      <c r="K567" s="28" t="s">
        <v>913</v>
      </c>
    </row>
    <row r="568" spans="1:11" s="30" customFormat="1" ht="48" customHeight="1" x14ac:dyDescent="0.25">
      <c r="A568" s="2">
        <v>8</v>
      </c>
      <c r="B568" s="196"/>
      <c r="C568" s="59" t="s">
        <v>920</v>
      </c>
      <c r="D568" s="10" t="s">
        <v>891</v>
      </c>
      <c r="E568" s="8" t="s">
        <v>23</v>
      </c>
      <c r="F568" s="60">
        <f t="shared" si="50"/>
        <v>2661.94</v>
      </c>
      <c r="G568" s="36">
        <v>0</v>
      </c>
      <c r="H568" s="29">
        <v>0</v>
      </c>
      <c r="I568" s="60">
        <v>2661.94</v>
      </c>
      <c r="J568" s="29">
        <v>0</v>
      </c>
      <c r="K568" s="28" t="s">
        <v>913</v>
      </c>
    </row>
    <row r="569" spans="1:11" s="30" customFormat="1" ht="30" x14ac:dyDescent="0.25">
      <c r="A569" s="2">
        <v>9</v>
      </c>
      <c r="B569" s="196"/>
      <c r="C569" s="59" t="s">
        <v>921</v>
      </c>
      <c r="D569" s="10" t="s">
        <v>132</v>
      </c>
      <c r="E569" s="8" t="s">
        <v>23</v>
      </c>
      <c r="F569" s="60">
        <f t="shared" si="50"/>
        <v>1448.47</v>
      </c>
      <c r="G569" s="36">
        <v>0</v>
      </c>
      <c r="H569" s="29">
        <v>0</v>
      </c>
      <c r="I569" s="60">
        <v>1448.47</v>
      </c>
      <c r="J569" s="29">
        <v>0</v>
      </c>
      <c r="K569" s="28" t="s">
        <v>913</v>
      </c>
    </row>
    <row r="570" spans="1:11" s="30" customFormat="1" ht="30" x14ac:dyDescent="0.25">
      <c r="A570" s="2">
        <v>10</v>
      </c>
      <c r="B570" s="196"/>
      <c r="C570" s="59" t="s">
        <v>922</v>
      </c>
      <c r="D570" s="10" t="s">
        <v>132</v>
      </c>
      <c r="E570" s="8" t="s">
        <v>23</v>
      </c>
      <c r="F570" s="60">
        <f t="shared" si="50"/>
        <v>129.69</v>
      </c>
      <c r="G570" s="36">
        <v>0</v>
      </c>
      <c r="H570" s="29">
        <v>0</v>
      </c>
      <c r="I570" s="60">
        <v>129.69</v>
      </c>
      <c r="J570" s="29">
        <v>0</v>
      </c>
      <c r="K570" s="28" t="s">
        <v>913</v>
      </c>
    </row>
    <row r="571" spans="1:11" s="30" customFormat="1" ht="30" x14ac:dyDescent="0.25">
      <c r="A571" s="2">
        <v>11</v>
      </c>
      <c r="B571" s="196"/>
      <c r="C571" s="59" t="s">
        <v>923</v>
      </c>
      <c r="D571" s="10" t="s">
        <v>895</v>
      </c>
      <c r="E571" s="8" t="s">
        <v>23</v>
      </c>
      <c r="F571" s="60">
        <f t="shared" si="50"/>
        <v>963.53</v>
      </c>
      <c r="G571" s="36">
        <v>0</v>
      </c>
      <c r="H571" s="29">
        <v>0</v>
      </c>
      <c r="I571" s="60">
        <v>963.53</v>
      </c>
      <c r="J571" s="29">
        <v>0</v>
      </c>
      <c r="K571" s="28" t="s">
        <v>924</v>
      </c>
    </row>
    <row r="572" spans="1:11" s="30" customFormat="1" ht="30" x14ac:dyDescent="0.25">
      <c r="A572" s="2">
        <v>12</v>
      </c>
      <c r="B572" s="196"/>
      <c r="C572" s="59" t="s">
        <v>925</v>
      </c>
      <c r="D572" s="10" t="s">
        <v>897</v>
      </c>
      <c r="E572" s="8" t="s">
        <v>23</v>
      </c>
      <c r="F572" s="60">
        <f t="shared" si="50"/>
        <v>3281.85</v>
      </c>
      <c r="G572" s="36">
        <v>0</v>
      </c>
      <c r="H572" s="29">
        <v>0</v>
      </c>
      <c r="I572" s="60">
        <v>3281.85</v>
      </c>
      <c r="J572" s="29">
        <v>0</v>
      </c>
      <c r="K572" s="28" t="s">
        <v>924</v>
      </c>
    </row>
    <row r="573" spans="1:11" s="30" customFormat="1" ht="30" x14ac:dyDescent="0.25">
      <c r="A573" s="2">
        <v>13</v>
      </c>
      <c r="B573" s="196"/>
      <c r="C573" s="59" t="s">
        <v>926</v>
      </c>
      <c r="D573" s="10" t="s">
        <v>899</v>
      </c>
      <c r="E573" s="8" t="s">
        <v>23</v>
      </c>
      <c r="F573" s="60">
        <f t="shared" si="50"/>
        <v>283.8</v>
      </c>
      <c r="G573" s="36">
        <v>0</v>
      </c>
      <c r="H573" s="29">
        <v>0</v>
      </c>
      <c r="I573" s="60">
        <v>283.8</v>
      </c>
      <c r="J573" s="29">
        <v>0</v>
      </c>
      <c r="K573" s="28" t="s">
        <v>924</v>
      </c>
    </row>
    <row r="574" spans="1:11" s="30" customFormat="1" ht="30" x14ac:dyDescent="0.25">
      <c r="A574" s="2">
        <v>14</v>
      </c>
      <c r="B574" s="196"/>
      <c r="C574" s="59" t="s">
        <v>927</v>
      </c>
      <c r="D574" s="10" t="s">
        <v>901</v>
      </c>
      <c r="E574" s="8" t="s">
        <v>23</v>
      </c>
      <c r="F574" s="60">
        <f t="shared" si="50"/>
        <v>3241.65</v>
      </c>
      <c r="G574" s="36">
        <v>0</v>
      </c>
      <c r="H574" s="29">
        <v>0</v>
      </c>
      <c r="I574" s="60">
        <v>3241.65</v>
      </c>
      <c r="J574" s="29">
        <v>0</v>
      </c>
      <c r="K574" s="28" t="s">
        <v>924</v>
      </c>
    </row>
    <row r="575" spans="1:11" s="30" customFormat="1" ht="40.9" customHeight="1" x14ac:dyDescent="0.25">
      <c r="A575" s="2">
        <v>15</v>
      </c>
      <c r="B575" s="196"/>
      <c r="C575" s="59" t="s">
        <v>928</v>
      </c>
      <c r="D575" s="10" t="s">
        <v>903</v>
      </c>
      <c r="E575" s="8" t="s">
        <v>23</v>
      </c>
      <c r="F575" s="60">
        <f t="shared" si="50"/>
        <v>8777.2900000000009</v>
      </c>
      <c r="G575" s="36">
        <v>0</v>
      </c>
      <c r="H575" s="29">
        <v>0</v>
      </c>
      <c r="I575" s="60">
        <v>8777.2900000000009</v>
      </c>
      <c r="J575" s="29">
        <v>0</v>
      </c>
      <c r="K575" s="28" t="s">
        <v>924</v>
      </c>
    </row>
    <row r="576" spans="1:11" s="30" customFormat="1" ht="41.45" customHeight="1" x14ac:dyDescent="0.25">
      <c r="A576" s="2">
        <v>16</v>
      </c>
      <c r="B576" s="196"/>
      <c r="C576" s="59" t="s">
        <v>929</v>
      </c>
      <c r="D576" s="10" t="s">
        <v>905</v>
      </c>
      <c r="E576" s="8" t="s">
        <v>23</v>
      </c>
      <c r="F576" s="60">
        <f t="shared" si="50"/>
        <v>26898.69</v>
      </c>
      <c r="G576" s="36">
        <v>0</v>
      </c>
      <c r="H576" s="29">
        <v>0</v>
      </c>
      <c r="I576" s="60">
        <v>26898.69</v>
      </c>
      <c r="J576" s="29">
        <v>0</v>
      </c>
      <c r="K576" s="28" t="s">
        <v>924</v>
      </c>
    </row>
    <row r="577" spans="1:11" s="30" customFormat="1" ht="33" customHeight="1" x14ac:dyDescent="0.25">
      <c r="A577" s="2">
        <v>17</v>
      </c>
      <c r="B577" s="196"/>
      <c r="C577" s="59" t="s">
        <v>930</v>
      </c>
      <c r="D577" s="10" t="s">
        <v>907</v>
      </c>
      <c r="E577" s="8" t="s">
        <v>23</v>
      </c>
      <c r="F577" s="60">
        <f t="shared" si="50"/>
        <v>40680.03</v>
      </c>
      <c r="G577" s="36">
        <v>0</v>
      </c>
      <c r="H577" s="29">
        <v>0</v>
      </c>
      <c r="I577" s="60">
        <v>40680.03</v>
      </c>
      <c r="J577" s="29">
        <v>0</v>
      </c>
      <c r="K577" s="28" t="s">
        <v>931</v>
      </c>
    </row>
    <row r="578" spans="1:11" s="30" customFormat="1" ht="45" x14ac:dyDescent="0.25">
      <c r="A578" s="2">
        <v>18</v>
      </c>
      <c r="B578" s="196"/>
      <c r="C578" s="59" t="s">
        <v>932</v>
      </c>
      <c r="D578" s="10" t="s">
        <v>909</v>
      </c>
      <c r="E578" s="8" t="s">
        <v>23</v>
      </c>
      <c r="F578" s="60">
        <f t="shared" si="50"/>
        <v>2531.58</v>
      </c>
      <c r="G578" s="36">
        <v>0</v>
      </c>
      <c r="H578" s="29">
        <v>0</v>
      </c>
      <c r="I578" s="60">
        <v>2531.58</v>
      </c>
      <c r="J578" s="29">
        <v>0</v>
      </c>
      <c r="K578" s="28" t="s">
        <v>931</v>
      </c>
    </row>
    <row r="579" spans="1:11" s="30" customFormat="1" ht="30" x14ac:dyDescent="0.25">
      <c r="A579" s="2">
        <v>19</v>
      </c>
      <c r="B579" s="197"/>
      <c r="C579" s="59" t="s">
        <v>933</v>
      </c>
      <c r="D579" s="10" t="s">
        <v>911</v>
      </c>
      <c r="E579" s="8" t="s">
        <v>23</v>
      </c>
      <c r="F579" s="60">
        <f t="shared" si="50"/>
        <v>1026.48</v>
      </c>
      <c r="G579" s="36">
        <v>0</v>
      </c>
      <c r="H579" s="29">
        <v>0</v>
      </c>
      <c r="I579" s="60">
        <v>1026.48</v>
      </c>
      <c r="J579" s="29">
        <v>0</v>
      </c>
      <c r="K579" s="28" t="s">
        <v>931</v>
      </c>
    </row>
    <row r="580" spans="1:11" s="34" customFormat="1" ht="26.45" customHeight="1" x14ac:dyDescent="0.25">
      <c r="A580" s="172" t="s">
        <v>1231</v>
      </c>
      <c r="B580" s="172"/>
      <c r="C580" s="172"/>
      <c r="D580" s="20"/>
      <c r="E580" s="20"/>
      <c r="F580" s="33">
        <f>SUM(F561:F579)</f>
        <v>228325.12</v>
      </c>
      <c r="G580" s="33">
        <f t="shared" ref="G580:J580" si="51">SUM(G561:G578)</f>
        <v>0</v>
      </c>
      <c r="H580" s="33">
        <f t="shared" si="51"/>
        <v>0</v>
      </c>
      <c r="I580" s="33">
        <f>SUM(I561:I579)</f>
        <v>228325.12</v>
      </c>
      <c r="J580" s="33">
        <f t="shared" si="51"/>
        <v>0</v>
      </c>
      <c r="K580" s="45"/>
    </row>
    <row r="581" spans="1:11" s="30" customFormat="1" ht="30" x14ac:dyDescent="0.25">
      <c r="A581" s="2">
        <v>1</v>
      </c>
      <c r="B581" s="161" t="s">
        <v>934</v>
      </c>
      <c r="C581" s="23" t="s">
        <v>935</v>
      </c>
      <c r="D581" s="2" t="s">
        <v>936</v>
      </c>
      <c r="E581" s="8" t="s">
        <v>937</v>
      </c>
      <c r="F581" s="29">
        <f>SUM(G581:J581)</f>
        <v>2893.93</v>
      </c>
      <c r="G581" s="29">
        <v>2893.93</v>
      </c>
      <c r="H581" s="29">
        <v>0</v>
      </c>
      <c r="I581" s="29">
        <v>0</v>
      </c>
      <c r="J581" s="29">
        <v>0</v>
      </c>
      <c r="K581" s="28" t="s">
        <v>162</v>
      </c>
    </row>
    <row r="582" spans="1:11" s="30" customFormat="1" ht="30" x14ac:dyDescent="0.25">
      <c r="A582" s="2">
        <v>2</v>
      </c>
      <c r="B582" s="162"/>
      <c r="C582" s="23" t="s">
        <v>938</v>
      </c>
      <c r="D582" s="2" t="s">
        <v>939</v>
      </c>
      <c r="E582" s="2" t="s">
        <v>940</v>
      </c>
      <c r="F582" s="29">
        <f t="shared" ref="F582:F596" si="52">SUM(G582:J582)</f>
        <v>1997.47</v>
      </c>
      <c r="G582" s="29">
        <v>1997.47</v>
      </c>
      <c r="H582" s="29">
        <v>0</v>
      </c>
      <c r="I582" s="29">
        <v>0</v>
      </c>
      <c r="J582" s="29">
        <v>0</v>
      </c>
      <c r="K582" s="28" t="s">
        <v>162</v>
      </c>
    </row>
    <row r="583" spans="1:11" s="30" customFormat="1" ht="30" x14ac:dyDescent="0.25">
      <c r="A583" s="2">
        <v>3</v>
      </c>
      <c r="B583" s="162"/>
      <c r="C583" s="23" t="s">
        <v>941</v>
      </c>
      <c r="D583" s="2" t="s">
        <v>942</v>
      </c>
      <c r="E583" s="8" t="s">
        <v>937</v>
      </c>
      <c r="F583" s="29">
        <f t="shared" si="52"/>
        <v>2617.7399999999998</v>
      </c>
      <c r="G583" s="29">
        <v>2617.7399999999998</v>
      </c>
      <c r="H583" s="29">
        <v>0</v>
      </c>
      <c r="I583" s="29">
        <v>0</v>
      </c>
      <c r="J583" s="29">
        <v>0</v>
      </c>
      <c r="K583" s="28" t="s">
        <v>162</v>
      </c>
    </row>
    <row r="584" spans="1:11" s="30" customFormat="1" ht="90.6" customHeight="1" x14ac:dyDescent="0.25">
      <c r="A584" s="2">
        <v>4</v>
      </c>
      <c r="B584" s="162"/>
      <c r="C584" s="23" t="s">
        <v>943</v>
      </c>
      <c r="D584" s="2" t="s">
        <v>944</v>
      </c>
      <c r="E584" s="8" t="s">
        <v>937</v>
      </c>
      <c r="F584" s="29">
        <f t="shared" si="52"/>
        <v>9617.4699999999993</v>
      </c>
      <c r="G584" s="29">
        <v>9617.4699999999993</v>
      </c>
      <c r="H584" s="29">
        <v>0</v>
      </c>
      <c r="I584" s="29">
        <v>0</v>
      </c>
      <c r="J584" s="29">
        <v>0</v>
      </c>
      <c r="K584" s="28" t="s">
        <v>162</v>
      </c>
    </row>
    <row r="585" spans="1:11" s="30" customFormat="1" ht="47.45" customHeight="1" x14ac:dyDescent="0.25">
      <c r="A585" s="2">
        <v>5</v>
      </c>
      <c r="B585" s="162"/>
      <c r="C585" s="23" t="s">
        <v>945</v>
      </c>
      <c r="D585" s="46" t="s">
        <v>946</v>
      </c>
      <c r="E585" s="8" t="s">
        <v>937</v>
      </c>
      <c r="F585" s="29">
        <f t="shared" si="52"/>
        <v>801.03</v>
      </c>
      <c r="G585" s="33">
        <v>0</v>
      </c>
      <c r="H585" s="29">
        <v>801.03</v>
      </c>
      <c r="I585" s="29">
        <v>0</v>
      </c>
      <c r="J585" s="29">
        <v>0</v>
      </c>
      <c r="K585" s="28" t="s">
        <v>221</v>
      </c>
    </row>
    <row r="586" spans="1:11" s="30" customFormat="1" ht="45" x14ac:dyDescent="0.25">
      <c r="A586" s="2">
        <v>6</v>
      </c>
      <c r="B586" s="162"/>
      <c r="C586" s="23" t="s">
        <v>947</v>
      </c>
      <c r="D586" s="46" t="s">
        <v>948</v>
      </c>
      <c r="E586" s="8" t="s">
        <v>937</v>
      </c>
      <c r="F586" s="29">
        <f t="shared" si="52"/>
        <v>890.1</v>
      </c>
      <c r="G586" s="33">
        <v>0</v>
      </c>
      <c r="H586" s="29">
        <v>890.1</v>
      </c>
      <c r="I586" s="29">
        <v>0</v>
      </c>
      <c r="J586" s="29">
        <v>0</v>
      </c>
      <c r="K586" s="28" t="s">
        <v>221</v>
      </c>
    </row>
    <row r="587" spans="1:11" s="30" customFormat="1" ht="45" x14ac:dyDescent="0.25">
      <c r="A587" s="2">
        <v>7</v>
      </c>
      <c r="B587" s="162"/>
      <c r="C587" s="23" t="s">
        <v>949</v>
      </c>
      <c r="D587" s="46" t="s">
        <v>950</v>
      </c>
      <c r="E587" s="8" t="s">
        <v>937</v>
      </c>
      <c r="F587" s="29">
        <f t="shared" si="52"/>
        <v>1759.78</v>
      </c>
      <c r="G587" s="33">
        <v>0</v>
      </c>
      <c r="H587" s="29">
        <v>1759.78</v>
      </c>
      <c r="I587" s="29">
        <v>0</v>
      </c>
      <c r="J587" s="29">
        <v>0</v>
      </c>
      <c r="K587" s="28" t="s">
        <v>221</v>
      </c>
    </row>
    <row r="588" spans="1:11" s="30" customFormat="1" ht="36" customHeight="1" x14ac:dyDescent="0.25">
      <c r="A588" s="2">
        <v>8</v>
      </c>
      <c r="B588" s="162"/>
      <c r="C588" s="23" t="s">
        <v>951</v>
      </c>
      <c r="D588" s="46" t="s">
        <v>952</v>
      </c>
      <c r="E588" s="8" t="s">
        <v>937</v>
      </c>
      <c r="F588" s="29">
        <f t="shared" si="52"/>
        <v>2400</v>
      </c>
      <c r="G588" s="33">
        <v>0</v>
      </c>
      <c r="H588" s="29">
        <v>2400</v>
      </c>
      <c r="I588" s="29">
        <v>0</v>
      </c>
      <c r="J588" s="29">
        <v>0</v>
      </c>
      <c r="K588" s="28" t="s">
        <v>221</v>
      </c>
    </row>
    <row r="589" spans="1:11" s="30" customFormat="1" ht="48" customHeight="1" x14ac:dyDescent="0.25">
      <c r="A589" s="2">
        <v>9</v>
      </c>
      <c r="B589" s="162"/>
      <c r="C589" s="23" t="s">
        <v>953</v>
      </c>
      <c r="D589" s="46" t="s">
        <v>954</v>
      </c>
      <c r="E589" s="8" t="s">
        <v>937</v>
      </c>
      <c r="F589" s="29">
        <f t="shared" si="52"/>
        <v>2566.66</v>
      </c>
      <c r="G589" s="33">
        <v>0</v>
      </c>
      <c r="H589" s="29">
        <v>2566.66</v>
      </c>
      <c r="I589" s="29">
        <v>0</v>
      </c>
      <c r="J589" s="29">
        <v>0</v>
      </c>
      <c r="K589" s="28" t="s">
        <v>221</v>
      </c>
    </row>
    <row r="590" spans="1:11" s="30" customFormat="1" ht="36" customHeight="1" x14ac:dyDescent="0.25">
      <c r="A590" s="2">
        <v>10</v>
      </c>
      <c r="B590" s="162"/>
      <c r="C590" s="23" t="s">
        <v>955</v>
      </c>
      <c r="D590" s="46" t="s">
        <v>956</v>
      </c>
      <c r="E590" s="8" t="s">
        <v>937</v>
      </c>
      <c r="F590" s="29">
        <f t="shared" si="52"/>
        <v>2863.27</v>
      </c>
      <c r="G590" s="33">
        <v>0</v>
      </c>
      <c r="H590" s="29">
        <v>2863.27</v>
      </c>
      <c r="I590" s="29">
        <v>0</v>
      </c>
      <c r="J590" s="29">
        <v>0</v>
      </c>
      <c r="K590" s="28" t="s">
        <v>221</v>
      </c>
    </row>
    <row r="591" spans="1:11" s="30" customFormat="1" ht="30" x14ac:dyDescent="0.25">
      <c r="A591" s="2">
        <v>11</v>
      </c>
      <c r="B591" s="162"/>
      <c r="C591" s="23" t="s">
        <v>957</v>
      </c>
      <c r="D591" s="46" t="s">
        <v>958</v>
      </c>
      <c r="E591" s="8" t="s">
        <v>937</v>
      </c>
      <c r="F591" s="29">
        <f t="shared" si="52"/>
        <v>3954.01</v>
      </c>
      <c r="G591" s="33">
        <v>0</v>
      </c>
      <c r="H591" s="29">
        <v>3954.01</v>
      </c>
      <c r="I591" s="29">
        <v>0</v>
      </c>
      <c r="J591" s="29">
        <v>0</v>
      </c>
      <c r="K591" s="28" t="s">
        <v>221</v>
      </c>
    </row>
    <row r="592" spans="1:11" s="30" customFormat="1" ht="45" x14ac:dyDescent="0.25">
      <c r="A592" s="2">
        <v>12</v>
      </c>
      <c r="B592" s="162"/>
      <c r="C592" s="23" t="s">
        <v>959</v>
      </c>
      <c r="D592" s="46" t="s">
        <v>960</v>
      </c>
      <c r="E592" s="8" t="s">
        <v>937</v>
      </c>
      <c r="F592" s="29">
        <f t="shared" si="52"/>
        <v>4644</v>
      </c>
      <c r="G592" s="33">
        <v>0</v>
      </c>
      <c r="H592" s="29">
        <v>4644</v>
      </c>
      <c r="I592" s="29">
        <v>0</v>
      </c>
      <c r="J592" s="29">
        <v>0</v>
      </c>
      <c r="K592" s="28" t="s">
        <v>221</v>
      </c>
    </row>
    <row r="593" spans="1:11" s="30" customFormat="1" ht="30" x14ac:dyDescent="0.25">
      <c r="A593" s="2">
        <v>13</v>
      </c>
      <c r="B593" s="162"/>
      <c r="C593" s="23" t="s">
        <v>961</v>
      </c>
      <c r="D593" s="46" t="s">
        <v>962</v>
      </c>
      <c r="E593" s="8" t="s">
        <v>937</v>
      </c>
      <c r="F593" s="29">
        <f t="shared" si="52"/>
        <v>5340.39</v>
      </c>
      <c r="G593" s="33">
        <v>0</v>
      </c>
      <c r="H593" s="29">
        <v>5340.39</v>
      </c>
      <c r="I593" s="29">
        <v>0</v>
      </c>
      <c r="J593" s="29">
        <v>0</v>
      </c>
      <c r="K593" s="28" t="s">
        <v>221</v>
      </c>
    </row>
    <row r="594" spans="1:11" s="30" customFormat="1" ht="45" x14ac:dyDescent="0.25">
      <c r="A594" s="2">
        <v>14</v>
      </c>
      <c r="B594" s="162"/>
      <c r="C594" s="23" t="s">
        <v>963</v>
      </c>
      <c r="D594" s="46" t="s">
        <v>964</v>
      </c>
      <c r="E594" s="8" t="s">
        <v>937</v>
      </c>
      <c r="F594" s="29">
        <f t="shared" si="52"/>
        <v>6672.85</v>
      </c>
      <c r="G594" s="33">
        <v>0</v>
      </c>
      <c r="H594" s="29">
        <v>6672.85</v>
      </c>
      <c r="I594" s="29">
        <v>0</v>
      </c>
      <c r="J594" s="29">
        <v>0</v>
      </c>
      <c r="K594" s="28" t="s">
        <v>221</v>
      </c>
    </row>
    <row r="595" spans="1:11" s="30" customFormat="1" ht="45" x14ac:dyDescent="0.25">
      <c r="A595" s="2">
        <v>15</v>
      </c>
      <c r="B595" s="162"/>
      <c r="C595" s="23" t="s">
        <v>965</v>
      </c>
      <c r="D595" s="46" t="s">
        <v>966</v>
      </c>
      <c r="E595" s="8" t="s">
        <v>937</v>
      </c>
      <c r="F595" s="29">
        <f t="shared" si="52"/>
        <v>3143.44</v>
      </c>
      <c r="G595" s="33">
        <v>0</v>
      </c>
      <c r="H595" s="29">
        <v>3143.44</v>
      </c>
      <c r="I595" s="29">
        <v>0</v>
      </c>
      <c r="J595" s="29">
        <v>0</v>
      </c>
      <c r="K595" s="28" t="s">
        <v>221</v>
      </c>
    </row>
    <row r="596" spans="1:11" s="30" customFormat="1" ht="30" x14ac:dyDescent="0.25">
      <c r="A596" s="2">
        <v>16</v>
      </c>
      <c r="B596" s="163"/>
      <c r="C596" s="23" t="s">
        <v>967</v>
      </c>
      <c r="D596" s="46" t="s">
        <v>968</v>
      </c>
      <c r="E596" s="8" t="s">
        <v>937</v>
      </c>
      <c r="F596" s="29">
        <f t="shared" si="52"/>
        <v>7048.96</v>
      </c>
      <c r="G596" s="33">
        <v>0</v>
      </c>
      <c r="H596" s="29">
        <v>7048.96</v>
      </c>
      <c r="I596" s="29">
        <v>0</v>
      </c>
      <c r="J596" s="29">
        <v>0</v>
      </c>
      <c r="K596" s="28" t="s">
        <v>221</v>
      </c>
    </row>
    <row r="597" spans="1:11" s="34" customFormat="1" ht="29.45" customHeight="1" x14ac:dyDescent="0.25">
      <c r="A597" s="188" t="s">
        <v>1232</v>
      </c>
      <c r="B597" s="189"/>
      <c r="C597" s="190"/>
      <c r="D597" s="37"/>
      <c r="E597" s="20"/>
      <c r="F597" s="33">
        <f>SUM(F581:F596)</f>
        <v>59211.1</v>
      </c>
      <c r="G597" s="33">
        <f t="shared" ref="G597:J597" si="53">SUM(G581:G596)</f>
        <v>17126.61</v>
      </c>
      <c r="H597" s="33">
        <f t="shared" si="53"/>
        <v>42084.49</v>
      </c>
      <c r="I597" s="33">
        <f t="shared" si="53"/>
        <v>0</v>
      </c>
      <c r="J597" s="33">
        <f t="shared" si="53"/>
        <v>0</v>
      </c>
      <c r="K597" s="45"/>
    </row>
    <row r="598" spans="1:11" s="30" customFormat="1" ht="30" x14ac:dyDescent="0.25">
      <c r="A598" s="50">
        <v>1</v>
      </c>
      <c r="B598" s="161" t="s">
        <v>934</v>
      </c>
      <c r="C598" s="23" t="s">
        <v>969</v>
      </c>
      <c r="D598" s="46" t="s">
        <v>970</v>
      </c>
      <c r="E598" s="8" t="s">
        <v>937</v>
      </c>
      <c r="F598" s="29">
        <f>SUM(G598:J598)</f>
        <v>1997.47</v>
      </c>
      <c r="G598" s="33">
        <v>0</v>
      </c>
      <c r="H598" s="29">
        <v>1997.47</v>
      </c>
      <c r="I598" s="29">
        <v>0</v>
      </c>
      <c r="J598" s="29">
        <v>0</v>
      </c>
      <c r="K598" s="28" t="s">
        <v>758</v>
      </c>
    </row>
    <row r="599" spans="1:11" s="30" customFormat="1" ht="60" x14ac:dyDescent="0.25">
      <c r="A599" s="50">
        <v>2</v>
      </c>
      <c r="B599" s="162"/>
      <c r="C599" s="23" t="s">
        <v>971</v>
      </c>
      <c r="D599" s="46" t="s">
        <v>972</v>
      </c>
      <c r="E599" s="8" t="s">
        <v>937</v>
      </c>
      <c r="F599" s="29">
        <f t="shared" ref="F599:F614" si="54">SUM(G599:J599)</f>
        <v>3060.75</v>
      </c>
      <c r="G599" s="33">
        <v>0</v>
      </c>
      <c r="H599" s="29">
        <v>3060.75</v>
      </c>
      <c r="I599" s="29">
        <v>0</v>
      </c>
      <c r="J599" s="29">
        <v>0</v>
      </c>
      <c r="K599" s="28" t="s">
        <v>758</v>
      </c>
    </row>
    <row r="600" spans="1:11" s="30" customFormat="1" ht="30" x14ac:dyDescent="0.25">
      <c r="A600" s="50">
        <v>3</v>
      </c>
      <c r="B600" s="162"/>
      <c r="C600" s="23" t="s">
        <v>973</v>
      </c>
      <c r="D600" s="46" t="s">
        <v>974</v>
      </c>
      <c r="E600" s="8" t="s">
        <v>937</v>
      </c>
      <c r="F600" s="29">
        <f t="shared" si="54"/>
        <v>7157.61</v>
      </c>
      <c r="G600" s="33">
        <v>0</v>
      </c>
      <c r="H600" s="29">
        <v>7157.61</v>
      </c>
      <c r="I600" s="29">
        <v>0</v>
      </c>
      <c r="J600" s="29">
        <v>0</v>
      </c>
      <c r="K600" s="28" t="s">
        <v>758</v>
      </c>
    </row>
    <row r="601" spans="1:11" s="30" customFormat="1" ht="30" x14ac:dyDescent="0.25">
      <c r="A601" s="50">
        <v>4</v>
      </c>
      <c r="B601" s="162"/>
      <c r="C601" s="23" t="s">
        <v>975</v>
      </c>
      <c r="D601" s="46" t="s">
        <v>976</v>
      </c>
      <c r="E601" s="8" t="s">
        <v>937</v>
      </c>
      <c r="F601" s="29">
        <f t="shared" si="54"/>
        <v>10062.34</v>
      </c>
      <c r="G601" s="33">
        <v>0</v>
      </c>
      <c r="H601" s="29">
        <v>10062.34</v>
      </c>
      <c r="I601" s="29">
        <v>0</v>
      </c>
      <c r="J601" s="29">
        <v>0</v>
      </c>
      <c r="K601" s="28" t="s">
        <v>758</v>
      </c>
    </row>
    <row r="602" spans="1:11" s="30" customFormat="1" ht="30" x14ac:dyDescent="0.25">
      <c r="A602" s="50">
        <v>5</v>
      </c>
      <c r="B602" s="162"/>
      <c r="C602" s="23" t="s">
        <v>977</v>
      </c>
      <c r="D602" s="46" t="s">
        <v>978</v>
      </c>
      <c r="E602" s="8" t="s">
        <v>937</v>
      </c>
      <c r="F602" s="29">
        <f t="shared" si="54"/>
        <v>10290</v>
      </c>
      <c r="G602" s="33">
        <v>0</v>
      </c>
      <c r="H602" s="29">
        <v>10290</v>
      </c>
      <c r="I602" s="29">
        <v>0</v>
      </c>
      <c r="J602" s="29">
        <v>0</v>
      </c>
      <c r="K602" s="28" t="s">
        <v>758</v>
      </c>
    </row>
    <row r="603" spans="1:11" s="30" customFormat="1" ht="30" x14ac:dyDescent="0.25">
      <c r="A603" s="50">
        <v>6</v>
      </c>
      <c r="B603" s="162"/>
      <c r="C603" s="68" t="s">
        <v>979</v>
      </c>
      <c r="D603" s="46" t="s">
        <v>287</v>
      </c>
      <c r="E603" s="8" t="s">
        <v>937</v>
      </c>
      <c r="F603" s="29">
        <f t="shared" si="54"/>
        <v>1759.78</v>
      </c>
      <c r="G603" s="33">
        <v>0</v>
      </c>
      <c r="H603" s="33">
        <v>0</v>
      </c>
      <c r="I603" s="29">
        <v>1759.78</v>
      </c>
      <c r="J603" s="29">
        <v>0</v>
      </c>
      <c r="K603" s="28" t="s">
        <v>758</v>
      </c>
    </row>
    <row r="604" spans="1:11" s="30" customFormat="1" ht="30" x14ac:dyDescent="0.25">
      <c r="A604" s="50">
        <v>7</v>
      </c>
      <c r="B604" s="162"/>
      <c r="C604" s="68" t="s">
        <v>980</v>
      </c>
      <c r="D604" s="46" t="s">
        <v>952</v>
      </c>
      <c r="E604" s="8" t="s">
        <v>937</v>
      </c>
      <c r="F604" s="29">
        <f t="shared" si="54"/>
        <v>2400</v>
      </c>
      <c r="G604" s="33">
        <v>0</v>
      </c>
      <c r="H604" s="33">
        <v>0</v>
      </c>
      <c r="I604" s="29">
        <v>2400</v>
      </c>
      <c r="J604" s="29">
        <v>0</v>
      </c>
      <c r="K604" s="28" t="s">
        <v>758</v>
      </c>
    </row>
    <row r="605" spans="1:11" s="30" customFormat="1" ht="45" x14ac:dyDescent="0.25">
      <c r="A605" s="50">
        <v>8</v>
      </c>
      <c r="B605" s="162"/>
      <c r="C605" s="68" t="s">
        <v>981</v>
      </c>
      <c r="D605" s="46" t="s">
        <v>954</v>
      </c>
      <c r="E605" s="8" t="s">
        <v>937</v>
      </c>
      <c r="F605" s="29">
        <f t="shared" si="54"/>
        <v>2566.66</v>
      </c>
      <c r="G605" s="33">
        <v>0</v>
      </c>
      <c r="H605" s="33">
        <v>0</v>
      </c>
      <c r="I605" s="29">
        <v>2566.66</v>
      </c>
      <c r="J605" s="29">
        <v>0</v>
      </c>
      <c r="K605" s="28" t="s">
        <v>758</v>
      </c>
    </row>
    <row r="606" spans="1:11" s="30" customFormat="1" ht="30" x14ac:dyDescent="0.25">
      <c r="A606" s="50">
        <v>9</v>
      </c>
      <c r="B606" s="162"/>
      <c r="C606" s="68" t="s">
        <v>982</v>
      </c>
      <c r="D606" s="46" t="s">
        <v>983</v>
      </c>
      <c r="E606" s="8" t="s">
        <v>937</v>
      </c>
      <c r="F606" s="29">
        <f t="shared" si="54"/>
        <v>2863.27</v>
      </c>
      <c r="G606" s="33">
        <v>0</v>
      </c>
      <c r="H606" s="33">
        <v>0</v>
      </c>
      <c r="I606" s="29">
        <v>2863.27</v>
      </c>
      <c r="J606" s="29">
        <v>0</v>
      </c>
      <c r="K606" s="28" t="s">
        <v>758</v>
      </c>
    </row>
    <row r="607" spans="1:11" s="30" customFormat="1" ht="48.6" customHeight="1" x14ac:dyDescent="0.25">
      <c r="A607" s="50">
        <v>10</v>
      </c>
      <c r="B607" s="162"/>
      <c r="C607" s="68" t="s">
        <v>984</v>
      </c>
      <c r="D607" s="46" t="s">
        <v>972</v>
      </c>
      <c r="E607" s="8" t="s">
        <v>937</v>
      </c>
      <c r="F607" s="29">
        <f t="shared" si="54"/>
        <v>3060.75</v>
      </c>
      <c r="G607" s="33">
        <v>0</v>
      </c>
      <c r="H607" s="33">
        <v>0</v>
      </c>
      <c r="I607" s="29">
        <v>3060.75</v>
      </c>
      <c r="J607" s="29">
        <v>0</v>
      </c>
      <c r="K607" s="28" t="s">
        <v>758</v>
      </c>
    </row>
    <row r="608" spans="1:11" s="30" customFormat="1" ht="31.9" customHeight="1" x14ac:dyDescent="0.25">
      <c r="A608" s="50">
        <v>11</v>
      </c>
      <c r="B608" s="162"/>
      <c r="C608" s="68" t="s">
        <v>985</v>
      </c>
      <c r="D608" s="46" t="s">
        <v>966</v>
      </c>
      <c r="E608" s="8" t="s">
        <v>937</v>
      </c>
      <c r="F608" s="29">
        <f t="shared" si="54"/>
        <v>3512.5</v>
      </c>
      <c r="G608" s="33">
        <v>0</v>
      </c>
      <c r="H608" s="33">
        <v>0</v>
      </c>
      <c r="I608" s="29">
        <v>3512.5</v>
      </c>
      <c r="J608" s="29">
        <v>0</v>
      </c>
      <c r="K608" s="28" t="s">
        <v>758</v>
      </c>
    </row>
    <row r="609" spans="1:11" s="30" customFormat="1" ht="30" x14ac:dyDescent="0.25">
      <c r="A609" s="50">
        <v>12</v>
      </c>
      <c r="B609" s="162"/>
      <c r="C609" s="68" t="s">
        <v>986</v>
      </c>
      <c r="D609" s="46" t="s">
        <v>968</v>
      </c>
      <c r="E609" s="8" t="s">
        <v>937</v>
      </c>
      <c r="F609" s="29">
        <f t="shared" si="54"/>
        <v>3905.53</v>
      </c>
      <c r="G609" s="33">
        <v>0</v>
      </c>
      <c r="H609" s="33">
        <v>0</v>
      </c>
      <c r="I609" s="29">
        <v>3905.53</v>
      </c>
      <c r="J609" s="29">
        <v>0</v>
      </c>
      <c r="K609" s="28" t="s">
        <v>758</v>
      </c>
    </row>
    <row r="610" spans="1:11" s="30" customFormat="1" ht="30" x14ac:dyDescent="0.25">
      <c r="A610" s="50">
        <v>13</v>
      </c>
      <c r="B610" s="162"/>
      <c r="C610" s="68" t="s">
        <v>987</v>
      </c>
      <c r="D610" s="46" t="s">
        <v>988</v>
      </c>
      <c r="E610" s="8" t="s">
        <v>937</v>
      </c>
      <c r="F610" s="29">
        <f t="shared" si="54"/>
        <v>3954.01</v>
      </c>
      <c r="G610" s="33">
        <v>0</v>
      </c>
      <c r="H610" s="33">
        <v>0</v>
      </c>
      <c r="I610" s="29">
        <v>3954.01</v>
      </c>
      <c r="J610" s="29">
        <v>0</v>
      </c>
      <c r="K610" s="28" t="s">
        <v>758</v>
      </c>
    </row>
    <row r="611" spans="1:11" s="30" customFormat="1" ht="45" x14ac:dyDescent="0.25">
      <c r="A611" s="50">
        <v>14</v>
      </c>
      <c r="B611" s="162"/>
      <c r="C611" s="68" t="s">
        <v>989</v>
      </c>
      <c r="D611" s="46" t="s">
        <v>960</v>
      </c>
      <c r="E611" s="8" t="s">
        <v>937</v>
      </c>
      <c r="F611" s="29">
        <f t="shared" si="54"/>
        <v>4644</v>
      </c>
      <c r="G611" s="33">
        <v>0</v>
      </c>
      <c r="H611" s="33">
        <v>0</v>
      </c>
      <c r="I611" s="29">
        <v>4644</v>
      </c>
      <c r="J611" s="29">
        <v>0</v>
      </c>
      <c r="K611" s="28" t="s">
        <v>758</v>
      </c>
    </row>
    <row r="612" spans="1:11" s="30" customFormat="1" ht="30" x14ac:dyDescent="0.25">
      <c r="A612" s="50">
        <v>15</v>
      </c>
      <c r="B612" s="162"/>
      <c r="C612" s="68" t="s">
        <v>985</v>
      </c>
      <c r="D612" s="46" t="s">
        <v>962</v>
      </c>
      <c r="E612" s="8" t="s">
        <v>937</v>
      </c>
      <c r="F612" s="29">
        <f t="shared" si="54"/>
        <v>4979.42</v>
      </c>
      <c r="G612" s="33">
        <v>0</v>
      </c>
      <c r="H612" s="33">
        <v>0</v>
      </c>
      <c r="I612" s="29">
        <v>4979.42</v>
      </c>
      <c r="J612" s="29">
        <v>0</v>
      </c>
      <c r="K612" s="28" t="s">
        <v>758</v>
      </c>
    </row>
    <row r="613" spans="1:11" s="30" customFormat="1" ht="45" x14ac:dyDescent="0.25">
      <c r="A613" s="50">
        <v>16</v>
      </c>
      <c r="B613" s="162"/>
      <c r="C613" s="68" t="s">
        <v>990</v>
      </c>
      <c r="D613" s="46" t="s">
        <v>991</v>
      </c>
      <c r="E613" s="8" t="s">
        <v>937</v>
      </c>
      <c r="F613" s="29">
        <f t="shared" si="54"/>
        <v>6743.59</v>
      </c>
      <c r="G613" s="33">
        <v>0</v>
      </c>
      <c r="H613" s="33">
        <v>0</v>
      </c>
      <c r="I613" s="29">
        <v>6743.59</v>
      </c>
      <c r="J613" s="29">
        <v>0</v>
      </c>
      <c r="K613" s="28" t="s">
        <v>758</v>
      </c>
    </row>
    <row r="614" spans="1:11" s="30" customFormat="1" ht="33.6" customHeight="1" x14ac:dyDescent="0.25">
      <c r="A614" s="50">
        <v>17</v>
      </c>
      <c r="B614" s="163"/>
      <c r="C614" s="68" t="s">
        <v>992</v>
      </c>
      <c r="D614" s="46" t="s">
        <v>993</v>
      </c>
      <c r="E614" s="8" t="s">
        <v>937</v>
      </c>
      <c r="F614" s="29">
        <f t="shared" si="54"/>
        <v>12202.29</v>
      </c>
      <c r="G614" s="33">
        <v>0</v>
      </c>
      <c r="H614" s="33">
        <v>0</v>
      </c>
      <c r="I614" s="29">
        <v>12202.29</v>
      </c>
      <c r="J614" s="29">
        <v>0</v>
      </c>
      <c r="K614" s="28" t="s">
        <v>758</v>
      </c>
    </row>
    <row r="615" spans="1:11" s="34" customFormat="1" ht="28.5" customHeight="1" x14ac:dyDescent="0.25">
      <c r="A615" s="172" t="s">
        <v>1233</v>
      </c>
      <c r="B615" s="172"/>
      <c r="C615" s="172"/>
      <c r="D615" s="20"/>
      <c r="E615" s="20"/>
      <c r="F615" s="33">
        <f>SUM(F598:F614)</f>
        <v>85159.97</v>
      </c>
      <c r="G615" s="33">
        <f t="shared" ref="G615:J615" si="55">SUM(G598:G614)</f>
        <v>0</v>
      </c>
      <c r="H615" s="33">
        <f t="shared" si="55"/>
        <v>32568.17</v>
      </c>
      <c r="I615" s="33">
        <f t="shared" si="55"/>
        <v>52591.799999999996</v>
      </c>
      <c r="J615" s="33">
        <f t="shared" si="55"/>
        <v>0</v>
      </c>
      <c r="K615" s="45"/>
    </row>
    <row r="616" spans="1:11" s="30" customFormat="1" ht="45" x14ac:dyDescent="0.25">
      <c r="A616" s="2">
        <v>1</v>
      </c>
      <c r="B616" s="161" t="s">
        <v>934</v>
      </c>
      <c r="C616" s="28" t="s">
        <v>994</v>
      </c>
      <c r="D616" s="2" t="s">
        <v>948</v>
      </c>
      <c r="E616" s="8" t="s">
        <v>937</v>
      </c>
      <c r="F616" s="29">
        <f>SUM(G616:J616)</f>
        <v>890.1</v>
      </c>
      <c r="G616" s="33">
        <v>0</v>
      </c>
      <c r="H616" s="33">
        <v>0</v>
      </c>
      <c r="I616" s="29">
        <v>890.1</v>
      </c>
      <c r="J616" s="29">
        <v>0</v>
      </c>
      <c r="K616" s="63" t="s">
        <v>262</v>
      </c>
    </row>
    <row r="617" spans="1:11" s="30" customFormat="1" ht="30" x14ac:dyDescent="0.25">
      <c r="A617" s="2">
        <v>2</v>
      </c>
      <c r="B617" s="162"/>
      <c r="C617" s="28" t="s">
        <v>995</v>
      </c>
      <c r="D617" s="2" t="s">
        <v>970</v>
      </c>
      <c r="E617" s="8" t="s">
        <v>937</v>
      </c>
      <c r="F617" s="29">
        <f t="shared" ref="F617:F621" si="56">SUM(G617:J617)</f>
        <v>1997.47</v>
      </c>
      <c r="G617" s="33">
        <v>0</v>
      </c>
      <c r="H617" s="33">
        <v>0</v>
      </c>
      <c r="I617" s="29">
        <v>1997.47</v>
      </c>
      <c r="J617" s="29">
        <v>0</v>
      </c>
      <c r="K617" s="69" t="s">
        <v>262</v>
      </c>
    </row>
    <row r="618" spans="1:11" s="30" customFormat="1" ht="45" x14ac:dyDescent="0.25">
      <c r="A618" s="2">
        <v>3</v>
      </c>
      <c r="B618" s="162"/>
      <c r="C618" s="28" t="s">
        <v>996</v>
      </c>
      <c r="D618" s="2" t="s">
        <v>964</v>
      </c>
      <c r="E618" s="8" t="s">
        <v>937</v>
      </c>
      <c r="F618" s="29">
        <f t="shared" si="56"/>
        <v>6913.08</v>
      </c>
      <c r="G618" s="33">
        <v>0</v>
      </c>
      <c r="H618" s="33">
        <v>0</v>
      </c>
      <c r="I618" s="29">
        <v>6913.08</v>
      </c>
      <c r="J618" s="29">
        <v>0</v>
      </c>
      <c r="K618" s="63" t="s">
        <v>262</v>
      </c>
    </row>
    <row r="619" spans="1:11" s="30" customFormat="1" ht="30" x14ac:dyDescent="0.25">
      <c r="A619" s="2">
        <v>4</v>
      </c>
      <c r="B619" s="162"/>
      <c r="C619" s="28" t="s">
        <v>997</v>
      </c>
      <c r="D619" s="2" t="s">
        <v>974</v>
      </c>
      <c r="E619" s="8" t="s">
        <v>937</v>
      </c>
      <c r="F619" s="29">
        <f t="shared" si="56"/>
        <v>7415.27</v>
      </c>
      <c r="G619" s="33">
        <v>0</v>
      </c>
      <c r="H619" s="33">
        <v>0</v>
      </c>
      <c r="I619" s="29">
        <v>7415.27</v>
      </c>
      <c r="J619" s="29">
        <v>0</v>
      </c>
      <c r="K619" s="70" t="s">
        <v>262</v>
      </c>
    </row>
    <row r="620" spans="1:11" s="30" customFormat="1" ht="30" x14ac:dyDescent="0.25">
      <c r="A620" s="2">
        <v>5</v>
      </c>
      <c r="B620" s="162"/>
      <c r="C620" s="28" t="s">
        <v>998</v>
      </c>
      <c r="D620" s="2" t="s">
        <v>978</v>
      </c>
      <c r="E620" s="8" t="s">
        <v>937</v>
      </c>
      <c r="F620" s="29">
        <f t="shared" si="56"/>
        <v>10290</v>
      </c>
      <c r="G620" s="33">
        <v>0</v>
      </c>
      <c r="H620" s="33">
        <v>0</v>
      </c>
      <c r="I620" s="29">
        <v>10290</v>
      </c>
      <c r="J620" s="29">
        <v>0</v>
      </c>
      <c r="K620" s="63" t="s">
        <v>262</v>
      </c>
    </row>
    <row r="621" spans="1:11" s="30" customFormat="1" ht="30" x14ac:dyDescent="0.25">
      <c r="A621" s="2">
        <v>6</v>
      </c>
      <c r="B621" s="163"/>
      <c r="C621" s="28" t="s">
        <v>999</v>
      </c>
      <c r="D621" s="2" t="s">
        <v>976</v>
      </c>
      <c r="E621" s="8" t="s">
        <v>937</v>
      </c>
      <c r="F621" s="29">
        <f t="shared" si="56"/>
        <v>10425.57</v>
      </c>
      <c r="G621" s="33">
        <v>0</v>
      </c>
      <c r="H621" s="33">
        <v>0</v>
      </c>
      <c r="I621" s="29">
        <v>10425.57</v>
      </c>
      <c r="J621" s="29">
        <v>0</v>
      </c>
      <c r="K621" s="71" t="s">
        <v>262</v>
      </c>
    </row>
    <row r="622" spans="1:11" s="34" customFormat="1" ht="30.75" customHeight="1" x14ac:dyDescent="0.25">
      <c r="A622" s="172" t="s">
        <v>1234</v>
      </c>
      <c r="B622" s="172"/>
      <c r="C622" s="172"/>
      <c r="D622" s="20"/>
      <c r="E622" s="20"/>
      <c r="F622" s="33">
        <f>SUM(F616:F621)</f>
        <v>37931.49</v>
      </c>
      <c r="G622" s="33">
        <f t="shared" ref="G622:J622" si="57">SUM(G616:G621)</f>
        <v>0</v>
      </c>
      <c r="H622" s="33">
        <f t="shared" si="57"/>
        <v>0</v>
      </c>
      <c r="I622" s="33">
        <f t="shared" si="57"/>
        <v>37931.49</v>
      </c>
      <c r="J622" s="33">
        <f t="shared" si="57"/>
        <v>0</v>
      </c>
      <c r="K622" s="31"/>
    </row>
    <row r="623" spans="1:11" s="30" customFormat="1" ht="30" x14ac:dyDescent="0.25">
      <c r="A623" s="2">
        <v>2</v>
      </c>
      <c r="B623" s="161" t="s">
        <v>1000</v>
      </c>
      <c r="C623" s="23" t="s">
        <v>1001</v>
      </c>
      <c r="D623" s="8" t="s">
        <v>1002</v>
      </c>
      <c r="E623" s="8" t="s">
        <v>646</v>
      </c>
      <c r="F623" s="44">
        <f>SUM(G623:J623)</f>
        <v>672</v>
      </c>
      <c r="G623" s="44">
        <v>0</v>
      </c>
      <c r="H623" s="29">
        <v>616</v>
      </c>
      <c r="I623" s="29">
        <v>56</v>
      </c>
      <c r="J623" s="29">
        <v>0</v>
      </c>
      <c r="K623" s="28" t="s">
        <v>37</v>
      </c>
    </row>
    <row r="624" spans="1:11" s="30" customFormat="1" ht="30" x14ac:dyDescent="0.25">
      <c r="A624" s="2">
        <v>3</v>
      </c>
      <c r="B624" s="162"/>
      <c r="C624" s="23" t="s">
        <v>1003</v>
      </c>
      <c r="D624" s="8" t="s">
        <v>1004</v>
      </c>
      <c r="E624" s="8" t="s">
        <v>646</v>
      </c>
      <c r="F624" s="44">
        <f t="shared" ref="F624:F656" si="58">SUM(G624:J624)</f>
        <v>114</v>
      </c>
      <c r="G624" s="44">
        <v>0</v>
      </c>
      <c r="H624" s="29">
        <v>114</v>
      </c>
      <c r="I624" s="29">
        <v>0</v>
      </c>
      <c r="J624" s="29">
        <v>0</v>
      </c>
      <c r="K624" s="28" t="s">
        <v>37</v>
      </c>
    </row>
    <row r="625" spans="1:11" s="30" customFormat="1" ht="45" x14ac:dyDescent="0.25">
      <c r="A625" s="2">
        <v>4</v>
      </c>
      <c r="B625" s="162"/>
      <c r="C625" s="23" t="s">
        <v>1005</v>
      </c>
      <c r="D625" s="8" t="s">
        <v>1006</v>
      </c>
      <c r="E625" s="8" t="s">
        <v>646</v>
      </c>
      <c r="F625" s="44">
        <f t="shared" si="58"/>
        <v>541.96799999999996</v>
      </c>
      <c r="G625" s="44">
        <v>0</v>
      </c>
      <c r="H625" s="29">
        <v>496.80399999999997</v>
      </c>
      <c r="I625" s="29">
        <v>45.164000000000001</v>
      </c>
      <c r="J625" s="29">
        <v>0</v>
      </c>
      <c r="K625" s="28" t="s">
        <v>37</v>
      </c>
    </row>
    <row r="626" spans="1:11" s="30" customFormat="1" ht="30" x14ac:dyDescent="0.25">
      <c r="A626" s="2">
        <v>5</v>
      </c>
      <c r="B626" s="162"/>
      <c r="C626" s="23" t="s">
        <v>1007</v>
      </c>
      <c r="D626" s="8" t="s">
        <v>1008</v>
      </c>
      <c r="E626" s="8" t="s">
        <v>646</v>
      </c>
      <c r="F626" s="44">
        <f t="shared" si="58"/>
        <v>495.99962999999997</v>
      </c>
      <c r="G626" s="44">
        <v>0</v>
      </c>
      <c r="H626" s="29">
        <v>454.66629999999998</v>
      </c>
      <c r="I626" s="29">
        <v>41.333329999999997</v>
      </c>
      <c r="J626" s="29">
        <v>0</v>
      </c>
      <c r="K626" s="28" t="s">
        <v>37</v>
      </c>
    </row>
    <row r="627" spans="1:11" s="30" customFormat="1" ht="45" x14ac:dyDescent="0.25">
      <c r="A627" s="2">
        <v>6</v>
      </c>
      <c r="B627" s="162"/>
      <c r="C627" s="23" t="s">
        <v>1009</v>
      </c>
      <c r="D627" s="8" t="s">
        <v>1010</v>
      </c>
      <c r="E627" s="8" t="s">
        <v>646</v>
      </c>
      <c r="F627" s="44">
        <f t="shared" si="58"/>
        <v>15744.56294</v>
      </c>
      <c r="G627" s="44">
        <v>0</v>
      </c>
      <c r="H627" s="29">
        <v>15423.7646</v>
      </c>
      <c r="I627" s="29">
        <v>320.79834</v>
      </c>
      <c r="J627" s="29">
        <v>0</v>
      </c>
      <c r="K627" s="28" t="s">
        <v>37</v>
      </c>
    </row>
    <row r="628" spans="1:11" s="30" customFormat="1" ht="45" x14ac:dyDescent="0.25">
      <c r="A628" s="2">
        <v>7</v>
      </c>
      <c r="B628" s="162"/>
      <c r="C628" s="23" t="s">
        <v>1011</v>
      </c>
      <c r="D628" s="8" t="s">
        <v>1012</v>
      </c>
      <c r="E628" s="8" t="s">
        <v>646</v>
      </c>
      <c r="F628" s="44">
        <f t="shared" si="58"/>
        <v>15796.574259999999</v>
      </c>
      <c r="G628" s="44">
        <v>0</v>
      </c>
      <c r="H628" s="29">
        <v>13722.088659999999</v>
      </c>
      <c r="I628" s="29">
        <v>2074.4856</v>
      </c>
      <c r="J628" s="29">
        <v>0</v>
      </c>
      <c r="K628" s="28" t="s">
        <v>37</v>
      </c>
    </row>
    <row r="629" spans="1:11" s="30" customFormat="1" ht="45" x14ac:dyDescent="0.25">
      <c r="A629" s="2">
        <v>8</v>
      </c>
      <c r="B629" s="162"/>
      <c r="C629" s="23" t="s">
        <v>1013</v>
      </c>
      <c r="D629" s="8" t="s">
        <v>1014</v>
      </c>
      <c r="E629" s="8" t="s">
        <v>646</v>
      </c>
      <c r="F629" s="44">
        <f t="shared" si="58"/>
        <v>1491.896</v>
      </c>
      <c r="G629" s="44">
        <v>0</v>
      </c>
      <c r="H629" s="29">
        <v>1491.896</v>
      </c>
      <c r="I629" s="29">
        <v>0</v>
      </c>
      <c r="J629" s="29">
        <v>0</v>
      </c>
      <c r="K629" s="28" t="s">
        <v>37</v>
      </c>
    </row>
    <row r="630" spans="1:11" s="30" customFormat="1" ht="30" x14ac:dyDescent="0.25">
      <c r="A630" s="2">
        <v>9</v>
      </c>
      <c r="B630" s="162"/>
      <c r="C630" s="23" t="s">
        <v>1015</v>
      </c>
      <c r="D630" s="8" t="s">
        <v>1016</v>
      </c>
      <c r="E630" s="8" t="s">
        <v>646</v>
      </c>
      <c r="F630" s="44">
        <f t="shared" si="58"/>
        <v>4910.3960400000005</v>
      </c>
      <c r="G630" s="44">
        <v>0</v>
      </c>
      <c r="H630" s="29">
        <v>4525.9963500000003</v>
      </c>
      <c r="I630" s="29">
        <v>384.39969000000002</v>
      </c>
      <c r="J630" s="29">
        <v>0</v>
      </c>
      <c r="K630" s="28" t="s">
        <v>37</v>
      </c>
    </row>
    <row r="631" spans="1:11" s="30" customFormat="1" ht="30" x14ac:dyDescent="0.25">
      <c r="A631" s="2">
        <v>10</v>
      </c>
      <c r="B631" s="162"/>
      <c r="C631" s="23" t="s">
        <v>1017</v>
      </c>
      <c r="D631" s="8" t="s">
        <v>1018</v>
      </c>
      <c r="E631" s="8" t="s">
        <v>646</v>
      </c>
      <c r="F631" s="44">
        <f t="shared" si="58"/>
        <v>6713.3779999999997</v>
      </c>
      <c r="G631" s="44">
        <v>0</v>
      </c>
      <c r="H631" s="29">
        <v>6713.3779999999997</v>
      </c>
      <c r="I631" s="29">
        <v>0</v>
      </c>
      <c r="J631" s="29">
        <v>0</v>
      </c>
      <c r="K631" s="28" t="s">
        <v>37</v>
      </c>
    </row>
    <row r="632" spans="1:11" s="30" customFormat="1" ht="30" x14ac:dyDescent="0.25">
      <c r="A632" s="2">
        <v>11</v>
      </c>
      <c r="B632" s="162"/>
      <c r="C632" s="23" t="s">
        <v>1019</v>
      </c>
      <c r="D632" s="8" t="s">
        <v>149</v>
      </c>
      <c r="E632" s="8" t="s">
        <v>646</v>
      </c>
      <c r="F632" s="44">
        <f t="shared" si="58"/>
        <v>779.25959999999998</v>
      </c>
      <c r="G632" s="44">
        <v>0</v>
      </c>
      <c r="H632" s="29">
        <v>779.25959999999998</v>
      </c>
      <c r="I632" s="29">
        <v>0</v>
      </c>
      <c r="J632" s="29">
        <v>0</v>
      </c>
      <c r="K632" s="28" t="s">
        <v>37</v>
      </c>
    </row>
    <row r="633" spans="1:11" s="30" customFormat="1" ht="30" x14ac:dyDescent="0.25">
      <c r="A633" s="2">
        <v>12</v>
      </c>
      <c r="B633" s="162"/>
      <c r="C633" s="23" t="s">
        <v>1020</v>
      </c>
      <c r="D633" s="8" t="s">
        <v>1021</v>
      </c>
      <c r="E633" s="8" t="s">
        <v>646</v>
      </c>
      <c r="F633" s="44">
        <f t="shared" si="58"/>
        <v>32757.98</v>
      </c>
      <c r="G633" s="44">
        <v>32757.98</v>
      </c>
      <c r="H633" s="29">
        <v>0</v>
      </c>
      <c r="I633" s="29">
        <v>0</v>
      </c>
      <c r="J633" s="29">
        <v>0</v>
      </c>
      <c r="K633" s="28" t="s">
        <v>418</v>
      </c>
    </row>
    <row r="634" spans="1:11" s="30" customFormat="1" ht="30" x14ac:dyDescent="0.25">
      <c r="A634" s="2">
        <v>13</v>
      </c>
      <c r="B634" s="163"/>
      <c r="C634" s="23" t="s">
        <v>1022</v>
      </c>
      <c r="D634" s="8" t="s">
        <v>1023</v>
      </c>
      <c r="E634" s="8" t="s">
        <v>646</v>
      </c>
      <c r="F634" s="44">
        <f t="shared" si="58"/>
        <v>1556.27</v>
      </c>
      <c r="G634" s="44">
        <v>1556.27</v>
      </c>
      <c r="H634" s="29">
        <v>0</v>
      </c>
      <c r="I634" s="29">
        <v>0</v>
      </c>
      <c r="J634" s="29">
        <v>0</v>
      </c>
      <c r="K634" s="28" t="s">
        <v>418</v>
      </c>
    </row>
    <row r="635" spans="1:11" s="34" customFormat="1" ht="30" customHeight="1" x14ac:dyDescent="0.25">
      <c r="A635" s="188" t="s">
        <v>1235</v>
      </c>
      <c r="B635" s="189"/>
      <c r="C635" s="190"/>
      <c r="D635" s="37"/>
      <c r="E635" s="37"/>
      <c r="F635" s="61">
        <f>SUM(F623:F634)</f>
        <v>81574.284469999999</v>
      </c>
      <c r="G635" s="33">
        <f>SUM(G623:G634)</f>
        <v>34314.25</v>
      </c>
      <c r="H635" s="33">
        <f>SUM(H623:H634)</f>
        <v>44337.853509999994</v>
      </c>
      <c r="I635" s="33">
        <f>SUM(I623:I634)</f>
        <v>2922.1809600000001</v>
      </c>
      <c r="J635" s="32">
        <v>0</v>
      </c>
      <c r="K635" s="31"/>
    </row>
    <row r="636" spans="1:11" s="30" customFormat="1" ht="41.45" customHeight="1" x14ac:dyDescent="0.25">
      <c r="A636" s="2">
        <v>1</v>
      </c>
      <c r="B636" s="161" t="s">
        <v>1000</v>
      </c>
      <c r="C636" s="23" t="s">
        <v>1024</v>
      </c>
      <c r="D636" s="8" t="s">
        <v>1025</v>
      </c>
      <c r="E636" s="8" t="s">
        <v>646</v>
      </c>
      <c r="F636" s="44">
        <f t="shared" si="58"/>
        <v>12930</v>
      </c>
      <c r="G636" s="44">
        <v>0</v>
      </c>
      <c r="H636" s="29">
        <v>0</v>
      </c>
      <c r="I636" s="29">
        <v>12930</v>
      </c>
      <c r="J636" s="29">
        <v>0</v>
      </c>
      <c r="K636" s="28" t="s">
        <v>281</v>
      </c>
    </row>
    <row r="637" spans="1:11" s="30" customFormat="1" ht="30" x14ac:dyDescent="0.25">
      <c r="A637" s="2">
        <v>2</v>
      </c>
      <c r="B637" s="162"/>
      <c r="C637" s="23" t="s">
        <v>1026</v>
      </c>
      <c r="D637" s="8" t="s">
        <v>958</v>
      </c>
      <c r="E637" s="8" t="s">
        <v>646</v>
      </c>
      <c r="F637" s="44">
        <f t="shared" si="58"/>
        <v>1978.7744</v>
      </c>
      <c r="G637" s="44">
        <v>0</v>
      </c>
      <c r="H637" s="29">
        <v>0</v>
      </c>
      <c r="I637" s="29">
        <v>1978.7744</v>
      </c>
      <c r="J637" s="29">
        <v>0</v>
      </c>
      <c r="K637" s="28" t="s">
        <v>210</v>
      </c>
    </row>
    <row r="638" spans="1:11" s="30" customFormat="1" ht="30" x14ac:dyDescent="0.25">
      <c r="A638" s="2">
        <v>3</v>
      </c>
      <c r="B638" s="162"/>
      <c r="C638" s="23" t="s">
        <v>1027</v>
      </c>
      <c r="D638" s="8" t="s">
        <v>1002</v>
      </c>
      <c r="E638" s="8" t="s">
        <v>646</v>
      </c>
      <c r="F638" s="44">
        <f t="shared" si="58"/>
        <v>616</v>
      </c>
      <c r="G638" s="44">
        <v>0</v>
      </c>
      <c r="H638" s="29">
        <v>0</v>
      </c>
      <c r="I638" s="29">
        <v>616</v>
      </c>
      <c r="J638" s="29">
        <v>0</v>
      </c>
      <c r="K638" s="28" t="s">
        <v>210</v>
      </c>
    </row>
    <row r="639" spans="1:11" s="30" customFormat="1" ht="30" x14ac:dyDescent="0.25">
      <c r="A639" s="2">
        <v>4</v>
      </c>
      <c r="B639" s="162"/>
      <c r="C639" s="23" t="s">
        <v>1028</v>
      </c>
      <c r="D639" s="8" t="s">
        <v>1004</v>
      </c>
      <c r="E639" s="8" t="s">
        <v>646</v>
      </c>
      <c r="F639" s="44">
        <f t="shared" si="58"/>
        <v>114</v>
      </c>
      <c r="G639" s="44">
        <v>0</v>
      </c>
      <c r="H639" s="29">
        <v>0</v>
      </c>
      <c r="I639" s="29">
        <v>114</v>
      </c>
      <c r="J639" s="29">
        <v>0</v>
      </c>
      <c r="K639" s="28" t="s">
        <v>210</v>
      </c>
    </row>
    <row r="640" spans="1:11" s="30" customFormat="1" ht="45" x14ac:dyDescent="0.25">
      <c r="A640" s="2">
        <v>5</v>
      </c>
      <c r="B640" s="162"/>
      <c r="C640" s="23" t="s">
        <v>1029</v>
      </c>
      <c r="D640" s="8" t="s">
        <v>1006</v>
      </c>
      <c r="E640" s="8" t="s">
        <v>646</v>
      </c>
      <c r="F640" s="44">
        <f t="shared" si="58"/>
        <v>496.80399999999997</v>
      </c>
      <c r="G640" s="44">
        <v>0</v>
      </c>
      <c r="H640" s="29">
        <v>0</v>
      </c>
      <c r="I640" s="29">
        <v>496.80399999999997</v>
      </c>
      <c r="J640" s="29">
        <v>0</v>
      </c>
      <c r="K640" s="28" t="s">
        <v>210</v>
      </c>
    </row>
    <row r="641" spans="1:11" s="30" customFormat="1" ht="30" x14ac:dyDescent="0.25">
      <c r="A641" s="2">
        <v>6</v>
      </c>
      <c r="B641" s="162"/>
      <c r="C641" s="23" t="s">
        <v>1030</v>
      </c>
      <c r="D641" s="8" t="s">
        <v>1031</v>
      </c>
      <c r="E641" s="8" t="s">
        <v>646</v>
      </c>
      <c r="F641" s="44">
        <f t="shared" si="58"/>
        <v>1550.4</v>
      </c>
      <c r="G641" s="44">
        <v>0</v>
      </c>
      <c r="H641" s="29">
        <v>652.79999999999995</v>
      </c>
      <c r="I641" s="29">
        <v>897.6</v>
      </c>
      <c r="J641" s="29">
        <v>0</v>
      </c>
      <c r="K641" s="28" t="s">
        <v>428</v>
      </c>
    </row>
    <row r="642" spans="1:11" s="30" customFormat="1" ht="30" x14ac:dyDescent="0.25">
      <c r="A642" s="2">
        <v>7</v>
      </c>
      <c r="B642" s="162"/>
      <c r="C642" s="23" t="s">
        <v>1032</v>
      </c>
      <c r="D642" s="8" t="s">
        <v>1008</v>
      </c>
      <c r="E642" s="8" t="s">
        <v>646</v>
      </c>
      <c r="F642" s="44">
        <f t="shared" si="58"/>
        <v>454.66629999999998</v>
      </c>
      <c r="G642" s="44">
        <v>0</v>
      </c>
      <c r="H642" s="44">
        <v>0</v>
      </c>
      <c r="I642" s="29">
        <v>454.66629999999998</v>
      </c>
      <c r="J642" s="29">
        <v>0</v>
      </c>
      <c r="K642" s="28" t="s">
        <v>281</v>
      </c>
    </row>
    <row r="643" spans="1:11" s="30" customFormat="1" ht="30" x14ac:dyDescent="0.25">
      <c r="A643" s="2">
        <v>8</v>
      </c>
      <c r="B643" s="162"/>
      <c r="C643" s="23" t="s">
        <v>1033</v>
      </c>
      <c r="D643" s="8" t="s">
        <v>132</v>
      </c>
      <c r="E643" s="8" t="s">
        <v>646</v>
      </c>
      <c r="F643" s="44">
        <f t="shared" si="58"/>
        <v>1062.7547999999999</v>
      </c>
      <c r="G643" s="44">
        <v>0</v>
      </c>
      <c r="H643" s="44">
        <v>0</v>
      </c>
      <c r="I643" s="29">
        <v>1062.7547999999999</v>
      </c>
      <c r="J643" s="29">
        <v>0</v>
      </c>
      <c r="K643" s="28" t="s">
        <v>210</v>
      </c>
    </row>
    <row r="644" spans="1:11" s="30" customFormat="1" ht="30" x14ac:dyDescent="0.25">
      <c r="A644" s="2">
        <v>9</v>
      </c>
      <c r="B644" s="162"/>
      <c r="C644" s="23" t="s">
        <v>1034</v>
      </c>
      <c r="D644" s="8" t="s">
        <v>1035</v>
      </c>
      <c r="E644" s="8" t="s">
        <v>646</v>
      </c>
      <c r="F644" s="44">
        <f t="shared" si="58"/>
        <v>13796</v>
      </c>
      <c r="G644" s="44">
        <v>0</v>
      </c>
      <c r="H644" s="44">
        <v>0</v>
      </c>
      <c r="I644" s="29">
        <v>13796</v>
      </c>
      <c r="J644" s="29">
        <v>0</v>
      </c>
      <c r="K644" s="28" t="s">
        <v>75</v>
      </c>
    </row>
    <row r="645" spans="1:11" s="30" customFormat="1" ht="30" x14ac:dyDescent="0.25">
      <c r="A645" s="2">
        <v>10</v>
      </c>
      <c r="B645" s="162"/>
      <c r="C645" s="23" t="s">
        <v>1036</v>
      </c>
      <c r="D645" s="8" t="s">
        <v>348</v>
      </c>
      <c r="E645" s="8" t="s">
        <v>646</v>
      </c>
      <c r="F645" s="44">
        <f t="shared" si="58"/>
        <v>335.36317000000003</v>
      </c>
      <c r="G645" s="44">
        <v>0</v>
      </c>
      <c r="H645" s="29">
        <v>335.36317000000003</v>
      </c>
      <c r="I645" s="29"/>
      <c r="J645" s="29">
        <v>0</v>
      </c>
      <c r="K645" s="28" t="s">
        <v>73</v>
      </c>
    </row>
    <row r="646" spans="1:11" s="30" customFormat="1" ht="45" x14ac:dyDescent="0.25">
      <c r="A646" s="2">
        <v>11</v>
      </c>
      <c r="B646" s="162"/>
      <c r="C646" s="23" t="s">
        <v>1037</v>
      </c>
      <c r="D646" s="8" t="s">
        <v>1010</v>
      </c>
      <c r="E646" s="8" t="s">
        <v>646</v>
      </c>
      <c r="F646" s="44">
        <f t="shared" si="58"/>
        <v>15423.7646</v>
      </c>
      <c r="G646" s="44">
        <v>0</v>
      </c>
      <c r="H646" s="44">
        <v>0</v>
      </c>
      <c r="I646" s="29">
        <v>15423.7646</v>
      </c>
      <c r="J646" s="29">
        <v>0</v>
      </c>
      <c r="K646" s="28" t="s">
        <v>75</v>
      </c>
    </row>
    <row r="647" spans="1:11" s="30" customFormat="1" ht="45" x14ac:dyDescent="0.25">
      <c r="A647" s="2">
        <v>12</v>
      </c>
      <c r="B647" s="162"/>
      <c r="C647" s="23" t="s">
        <v>1038</v>
      </c>
      <c r="D647" s="8" t="s">
        <v>1012</v>
      </c>
      <c r="E647" s="8" t="s">
        <v>646</v>
      </c>
      <c r="F647" s="44">
        <f t="shared" si="58"/>
        <v>13722.088659999999</v>
      </c>
      <c r="G647" s="44">
        <v>0</v>
      </c>
      <c r="H647" s="44">
        <v>0</v>
      </c>
      <c r="I647" s="29">
        <v>13722.088659999999</v>
      </c>
      <c r="J647" s="29">
        <v>0</v>
      </c>
      <c r="K647" s="28" t="s">
        <v>75</v>
      </c>
    </row>
    <row r="648" spans="1:11" s="30" customFormat="1" ht="45" x14ac:dyDescent="0.25">
      <c r="A648" s="2">
        <v>13</v>
      </c>
      <c r="B648" s="162"/>
      <c r="C648" s="23" t="s">
        <v>1039</v>
      </c>
      <c r="D648" s="8" t="s">
        <v>1014</v>
      </c>
      <c r="E648" s="8" t="s">
        <v>646</v>
      </c>
      <c r="F648" s="44">
        <f t="shared" si="58"/>
        <v>1491.896</v>
      </c>
      <c r="G648" s="44">
        <v>0</v>
      </c>
      <c r="H648" s="44">
        <v>0</v>
      </c>
      <c r="I648" s="29">
        <v>1491.896</v>
      </c>
      <c r="J648" s="29">
        <v>0</v>
      </c>
      <c r="K648" s="28" t="s">
        <v>75</v>
      </c>
    </row>
    <row r="649" spans="1:11" s="30" customFormat="1" ht="30" x14ac:dyDescent="0.25">
      <c r="A649" s="2">
        <v>14</v>
      </c>
      <c r="B649" s="162"/>
      <c r="C649" s="23" t="s">
        <v>1040</v>
      </c>
      <c r="D649" s="8" t="s">
        <v>1016</v>
      </c>
      <c r="E649" s="8" t="s">
        <v>646</v>
      </c>
      <c r="F649" s="44">
        <f t="shared" si="58"/>
        <v>4141.5966600000002</v>
      </c>
      <c r="G649" s="44">
        <v>0</v>
      </c>
      <c r="H649" s="44">
        <v>0</v>
      </c>
      <c r="I649" s="29">
        <v>4141.5966600000002</v>
      </c>
      <c r="J649" s="29">
        <v>0</v>
      </c>
      <c r="K649" s="28" t="s">
        <v>75</v>
      </c>
    </row>
    <row r="650" spans="1:11" s="30" customFormat="1" ht="30" x14ac:dyDescent="0.25">
      <c r="A650" s="2">
        <v>15</v>
      </c>
      <c r="B650" s="162"/>
      <c r="C650" s="23" t="s">
        <v>1041</v>
      </c>
      <c r="D650" s="8" t="s">
        <v>1018</v>
      </c>
      <c r="E650" s="8" t="s">
        <v>646</v>
      </c>
      <c r="F650" s="44">
        <f t="shared" si="58"/>
        <v>6713.3779999999997</v>
      </c>
      <c r="G650" s="44">
        <v>0</v>
      </c>
      <c r="H650" s="44">
        <v>0</v>
      </c>
      <c r="I650" s="29">
        <v>6713.3779999999997</v>
      </c>
      <c r="J650" s="29">
        <v>0</v>
      </c>
      <c r="K650" s="28" t="s">
        <v>75</v>
      </c>
    </row>
    <row r="651" spans="1:11" s="30" customFormat="1" ht="30" x14ac:dyDescent="0.25">
      <c r="A651" s="2">
        <v>16</v>
      </c>
      <c r="B651" s="162"/>
      <c r="C651" s="23" t="s">
        <v>1042</v>
      </c>
      <c r="D651" s="8" t="s">
        <v>132</v>
      </c>
      <c r="E651" s="8" t="s">
        <v>646</v>
      </c>
      <c r="F651" s="44">
        <f t="shared" si="58"/>
        <v>4748.6006399999997</v>
      </c>
      <c r="G651" s="44">
        <v>0</v>
      </c>
      <c r="H651" s="44">
        <v>0</v>
      </c>
      <c r="I651" s="29">
        <v>4748.6006399999997</v>
      </c>
      <c r="J651" s="29">
        <v>0</v>
      </c>
      <c r="K651" s="28" t="s">
        <v>75</v>
      </c>
    </row>
    <row r="652" spans="1:11" s="30" customFormat="1" ht="30" x14ac:dyDescent="0.25">
      <c r="A652" s="2">
        <v>17</v>
      </c>
      <c r="B652" s="163"/>
      <c r="C652" s="23" t="s">
        <v>1043</v>
      </c>
      <c r="D652" s="8" t="s">
        <v>149</v>
      </c>
      <c r="E652" s="8" t="s">
        <v>646</v>
      </c>
      <c r="F652" s="44">
        <f t="shared" si="58"/>
        <v>876.14558999999997</v>
      </c>
      <c r="G652" s="44">
        <v>0</v>
      </c>
      <c r="H652" s="44">
        <v>0</v>
      </c>
      <c r="I652" s="29">
        <v>876.14558999999997</v>
      </c>
      <c r="J652" s="29">
        <v>0</v>
      </c>
      <c r="K652" s="28" t="s">
        <v>210</v>
      </c>
    </row>
    <row r="653" spans="1:11" s="34" customFormat="1" ht="27" customHeight="1" x14ac:dyDescent="0.25">
      <c r="A653" s="172" t="s">
        <v>1236</v>
      </c>
      <c r="B653" s="172"/>
      <c r="C653" s="172"/>
      <c r="D653" s="20"/>
      <c r="E653" s="20"/>
      <c r="F653" s="61">
        <f>SUM(F636:F652)</f>
        <v>80452.232820000005</v>
      </c>
      <c r="G653" s="33">
        <f>SUM(G636:G652)</f>
        <v>0</v>
      </c>
      <c r="H653" s="33">
        <f>SUM(H636:H652)</f>
        <v>988.16317000000004</v>
      </c>
      <c r="I653" s="33">
        <f>SUM(I636:I652)</f>
        <v>79464.069650000005</v>
      </c>
      <c r="J653" s="32">
        <v>0</v>
      </c>
      <c r="K653" s="31"/>
    </row>
    <row r="654" spans="1:11" s="30" customFormat="1" ht="30" x14ac:dyDescent="0.25">
      <c r="A654" s="2">
        <v>1</v>
      </c>
      <c r="B654" s="161" t="s">
        <v>1000</v>
      </c>
      <c r="C654" s="23" t="s">
        <v>1044</v>
      </c>
      <c r="D654" s="8" t="s">
        <v>1031</v>
      </c>
      <c r="E654" s="8" t="s">
        <v>646</v>
      </c>
      <c r="F654" s="44">
        <f t="shared" si="58"/>
        <v>652.79999999999995</v>
      </c>
      <c r="G654" s="44">
        <v>0</v>
      </c>
      <c r="H654" s="29">
        <v>0</v>
      </c>
      <c r="I654" s="29">
        <v>652.79999999999995</v>
      </c>
      <c r="J654" s="29">
        <v>0</v>
      </c>
      <c r="K654" s="28" t="s">
        <v>1045</v>
      </c>
    </row>
    <row r="655" spans="1:11" s="30" customFormat="1" ht="30" x14ac:dyDescent="0.25">
      <c r="A655" s="2">
        <v>2</v>
      </c>
      <c r="B655" s="163"/>
      <c r="C655" s="23" t="s">
        <v>1046</v>
      </c>
      <c r="D655" s="8" t="s">
        <v>348</v>
      </c>
      <c r="E655" s="8" t="s">
        <v>646</v>
      </c>
      <c r="F655" s="44">
        <f t="shared" si="58"/>
        <v>335.36317000000003</v>
      </c>
      <c r="G655" s="44">
        <v>0</v>
      </c>
      <c r="H655" s="29">
        <v>0</v>
      </c>
      <c r="I655" s="29">
        <v>335.36317000000003</v>
      </c>
      <c r="J655" s="29">
        <v>0</v>
      </c>
      <c r="K655" s="28" t="s">
        <v>115</v>
      </c>
    </row>
    <row r="656" spans="1:11" s="34" customFormat="1" ht="34.5" customHeight="1" x14ac:dyDescent="0.25">
      <c r="A656" s="172" t="s">
        <v>1237</v>
      </c>
      <c r="B656" s="172"/>
      <c r="C656" s="172"/>
      <c r="D656" s="20"/>
      <c r="E656" s="20"/>
      <c r="F656" s="61">
        <f t="shared" si="58"/>
        <v>988.16317000000004</v>
      </c>
      <c r="G656" s="33">
        <f>SUM(G654:G655)</f>
        <v>0</v>
      </c>
      <c r="H656" s="33">
        <f>SUM(H654:H655)</f>
        <v>0</v>
      </c>
      <c r="I656" s="33">
        <f>SUM(I654:I655)</f>
        <v>988.16317000000004</v>
      </c>
      <c r="J656" s="33">
        <f>SUM(J654:J655)</f>
        <v>0</v>
      </c>
      <c r="K656" s="31"/>
    </row>
    <row r="657" spans="1:11" s="30" customFormat="1" ht="45.6" customHeight="1" x14ac:dyDescent="0.25">
      <c r="A657" s="2">
        <v>1</v>
      </c>
      <c r="B657" s="161" t="s">
        <v>1047</v>
      </c>
      <c r="C657" s="23" t="s">
        <v>1048</v>
      </c>
      <c r="D657" s="8" t="s">
        <v>1049</v>
      </c>
      <c r="E657" s="2" t="s">
        <v>23</v>
      </c>
      <c r="F657" s="29">
        <f>SUM(G657:J657)</f>
        <v>8627.7875299999996</v>
      </c>
      <c r="G657" s="29">
        <v>8627.7875299999996</v>
      </c>
      <c r="H657" s="29">
        <v>0</v>
      </c>
      <c r="I657" s="29">
        <v>0</v>
      </c>
      <c r="J657" s="29">
        <v>0</v>
      </c>
      <c r="K657" s="28" t="s">
        <v>418</v>
      </c>
    </row>
    <row r="658" spans="1:11" s="30" customFormat="1" ht="60.6" customHeight="1" x14ac:dyDescent="0.25">
      <c r="A658" s="2">
        <v>2</v>
      </c>
      <c r="B658" s="162"/>
      <c r="C658" s="23" t="s">
        <v>1050</v>
      </c>
      <c r="D658" s="8" t="s">
        <v>1051</v>
      </c>
      <c r="E658" s="2" t="s">
        <v>23</v>
      </c>
      <c r="F658" s="29">
        <f t="shared" ref="F658:F721" si="59">SUM(G658:J658)</f>
        <v>687.92131000000006</v>
      </c>
      <c r="G658" s="29">
        <v>687.92131000000006</v>
      </c>
      <c r="H658" s="29">
        <v>0</v>
      </c>
      <c r="I658" s="29">
        <v>0</v>
      </c>
      <c r="J658" s="29">
        <v>0</v>
      </c>
      <c r="K658" s="28" t="s">
        <v>418</v>
      </c>
    </row>
    <row r="659" spans="1:11" s="30" customFormat="1" ht="60" x14ac:dyDescent="0.25">
      <c r="A659" s="2">
        <v>3</v>
      </c>
      <c r="B659" s="162"/>
      <c r="C659" s="23" t="s">
        <v>1052</v>
      </c>
      <c r="D659" s="8" t="s">
        <v>1053</v>
      </c>
      <c r="E659" s="2" t="s">
        <v>23</v>
      </c>
      <c r="F659" s="29">
        <f t="shared" si="59"/>
        <v>1323.5829199999998</v>
      </c>
      <c r="G659" s="29">
        <v>1323.5829199999998</v>
      </c>
      <c r="H659" s="29">
        <v>0</v>
      </c>
      <c r="I659" s="29">
        <v>0</v>
      </c>
      <c r="J659" s="29">
        <v>0</v>
      </c>
      <c r="K659" s="28" t="s">
        <v>418</v>
      </c>
    </row>
    <row r="660" spans="1:11" s="30" customFormat="1" ht="60" x14ac:dyDescent="0.25">
      <c r="A660" s="2">
        <v>4</v>
      </c>
      <c r="B660" s="162"/>
      <c r="C660" s="23" t="s">
        <v>1054</v>
      </c>
      <c r="D660" s="8" t="s">
        <v>1055</v>
      </c>
      <c r="E660" s="2" t="s">
        <v>23</v>
      </c>
      <c r="F660" s="29">
        <f t="shared" si="59"/>
        <v>3236.3808100000001</v>
      </c>
      <c r="G660" s="29">
        <v>3236.3808100000001</v>
      </c>
      <c r="H660" s="29">
        <v>0</v>
      </c>
      <c r="I660" s="29">
        <v>0</v>
      </c>
      <c r="J660" s="29">
        <v>0</v>
      </c>
      <c r="K660" s="28" t="s">
        <v>418</v>
      </c>
    </row>
    <row r="661" spans="1:11" s="30" customFormat="1" ht="60" x14ac:dyDescent="0.25">
      <c r="A661" s="2">
        <v>5</v>
      </c>
      <c r="B661" s="162"/>
      <c r="C661" s="23" t="s">
        <v>1056</v>
      </c>
      <c r="D661" s="8" t="s">
        <v>1057</v>
      </c>
      <c r="E661" s="2" t="s">
        <v>23</v>
      </c>
      <c r="F661" s="29">
        <f t="shared" si="59"/>
        <v>3339.9975399999998</v>
      </c>
      <c r="G661" s="29">
        <v>3339.9975399999998</v>
      </c>
      <c r="H661" s="29">
        <v>0</v>
      </c>
      <c r="I661" s="29">
        <v>0</v>
      </c>
      <c r="J661" s="29">
        <v>0</v>
      </c>
      <c r="K661" s="28" t="s">
        <v>418</v>
      </c>
    </row>
    <row r="662" spans="1:11" s="30" customFormat="1" ht="45" x14ac:dyDescent="0.25">
      <c r="A662" s="2">
        <v>6</v>
      </c>
      <c r="B662" s="162"/>
      <c r="C662" s="23" t="s">
        <v>1058</v>
      </c>
      <c r="D662" s="8" t="s">
        <v>1059</v>
      </c>
      <c r="E662" s="2" t="s">
        <v>23</v>
      </c>
      <c r="F662" s="29">
        <f t="shared" si="59"/>
        <v>3807.7198100000001</v>
      </c>
      <c r="G662" s="29">
        <v>3807.7198100000001</v>
      </c>
      <c r="H662" s="29">
        <v>0</v>
      </c>
      <c r="I662" s="29">
        <v>0</v>
      </c>
      <c r="J662" s="29">
        <v>0</v>
      </c>
      <c r="K662" s="28" t="s">
        <v>418</v>
      </c>
    </row>
    <row r="663" spans="1:11" s="30" customFormat="1" ht="60" x14ac:dyDescent="0.25">
      <c r="A663" s="2">
        <v>7</v>
      </c>
      <c r="B663" s="162"/>
      <c r="C663" s="23" t="s">
        <v>1060</v>
      </c>
      <c r="D663" s="8" t="s">
        <v>1061</v>
      </c>
      <c r="E663" s="2" t="s">
        <v>23</v>
      </c>
      <c r="F663" s="29">
        <f t="shared" si="59"/>
        <v>513.55372</v>
      </c>
      <c r="G663" s="29">
        <v>513.55372</v>
      </c>
      <c r="H663" s="29">
        <v>0</v>
      </c>
      <c r="I663" s="29">
        <v>0</v>
      </c>
      <c r="J663" s="29">
        <v>0</v>
      </c>
      <c r="K663" s="28" t="s">
        <v>418</v>
      </c>
    </row>
    <row r="664" spans="1:11" s="30" customFormat="1" ht="60" x14ac:dyDescent="0.25">
      <c r="A664" s="2">
        <v>8</v>
      </c>
      <c r="B664" s="162"/>
      <c r="C664" s="23" t="s">
        <v>1062</v>
      </c>
      <c r="D664" s="8" t="s">
        <v>1063</v>
      </c>
      <c r="E664" s="2" t="s">
        <v>23</v>
      </c>
      <c r="F664" s="29">
        <f t="shared" si="59"/>
        <v>387.6123</v>
      </c>
      <c r="G664" s="29">
        <v>387.6123</v>
      </c>
      <c r="H664" s="29">
        <v>0</v>
      </c>
      <c r="I664" s="29">
        <v>0</v>
      </c>
      <c r="J664" s="29">
        <v>0</v>
      </c>
      <c r="K664" s="28" t="s">
        <v>418</v>
      </c>
    </row>
    <row r="665" spans="1:11" s="30" customFormat="1" ht="60" x14ac:dyDescent="0.25">
      <c r="A665" s="2">
        <v>9</v>
      </c>
      <c r="B665" s="162"/>
      <c r="C665" s="23" t="s">
        <v>1064</v>
      </c>
      <c r="D665" s="8" t="s">
        <v>1065</v>
      </c>
      <c r="E665" s="2" t="s">
        <v>23</v>
      </c>
      <c r="F665" s="29">
        <f t="shared" si="59"/>
        <v>513.55372</v>
      </c>
      <c r="G665" s="29">
        <v>513.55372</v>
      </c>
      <c r="H665" s="29">
        <v>0</v>
      </c>
      <c r="I665" s="29">
        <v>0</v>
      </c>
      <c r="J665" s="29">
        <v>0</v>
      </c>
      <c r="K665" s="28" t="s">
        <v>418</v>
      </c>
    </row>
    <row r="666" spans="1:11" s="30" customFormat="1" ht="45" x14ac:dyDescent="0.25">
      <c r="A666" s="2">
        <v>10</v>
      </c>
      <c r="B666" s="162"/>
      <c r="C666" s="23" t="s">
        <v>1066</v>
      </c>
      <c r="D666" s="8" t="s">
        <v>1067</v>
      </c>
      <c r="E666" s="2" t="s">
        <v>23</v>
      </c>
      <c r="F666" s="29">
        <f t="shared" si="59"/>
        <v>5076.1761500000002</v>
      </c>
      <c r="G666" s="29">
        <v>5076.1761500000002</v>
      </c>
      <c r="H666" s="29">
        <v>0</v>
      </c>
      <c r="I666" s="29">
        <v>0</v>
      </c>
      <c r="J666" s="29">
        <v>0</v>
      </c>
      <c r="K666" s="28" t="s">
        <v>418</v>
      </c>
    </row>
    <row r="667" spans="1:11" s="30" customFormat="1" ht="60" x14ac:dyDescent="0.25">
      <c r="A667" s="2">
        <v>11</v>
      </c>
      <c r="B667" s="162"/>
      <c r="C667" s="23" t="s">
        <v>1068</v>
      </c>
      <c r="D667" s="8" t="s">
        <v>1069</v>
      </c>
      <c r="E667" s="2" t="s">
        <v>23</v>
      </c>
      <c r="F667" s="29">
        <f t="shared" si="59"/>
        <v>815.32199000000003</v>
      </c>
      <c r="G667" s="29">
        <v>815.32199000000003</v>
      </c>
      <c r="H667" s="29">
        <v>0</v>
      </c>
      <c r="I667" s="29">
        <v>0</v>
      </c>
      <c r="J667" s="29">
        <v>0</v>
      </c>
      <c r="K667" s="28" t="s">
        <v>418</v>
      </c>
    </row>
    <row r="668" spans="1:11" s="30" customFormat="1" ht="30" x14ac:dyDescent="0.25">
      <c r="A668" s="2">
        <v>12</v>
      </c>
      <c r="B668" s="162"/>
      <c r="C668" s="59" t="s">
        <v>1070</v>
      </c>
      <c r="D668" s="8" t="s">
        <v>1071</v>
      </c>
      <c r="E668" s="2" t="s">
        <v>23</v>
      </c>
      <c r="F668" s="29">
        <f t="shared" si="59"/>
        <v>11439.45406</v>
      </c>
      <c r="G668" s="29">
        <v>11439.45406</v>
      </c>
      <c r="H668" s="29">
        <v>0</v>
      </c>
      <c r="I668" s="29">
        <v>0</v>
      </c>
      <c r="J668" s="29">
        <v>0</v>
      </c>
      <c r="K668" s="28" t="s">
        <v>418</v>
      </c>
    </row>
    <row r="669" spans="1:11" s="30" customFormat="1" ht="60" x14ac:dyDescent="0.25">
      <c r="A669" s="2">
        <v>13</v>
      </c>
      <c r="B669" s="162"/>
      <c r="C669" s="23" t="s">
        <v>1072</v>
      </c>
      <c r="D669" s="8" t="s">
        <v>1073</v>
      </c>
      <c r="E669" s="2" t="s">
        <v>23</v>
      </c>
      <c r="F669" s="29">
        <f t="shared" si="59"/>
        <v>1529.35283</v>
      </c>
      <c r="G669" s="29">
        <v>1529.35283</v>
      </c>
      <c r="H669" s="29">
        <v>0</v>
      </c>
      <c r="I669" s="29">
        <v>0</v>
      </c>
      <c r="J669" s="29">
        <v>0</v>
      </c>
      <c r="K669" s="28" t="s">
        <v>418</v>
      </c>
    </row>
    <row r="670" spans="1:11" s="30" customFormat="1" ht="30" x14ac:dyDescent="0.25">
      <c r="A670" s="2">
        <v>14</v>
      </c>
      <c r="B670" s="162"/>
      <c r="C670" s="23" t="s">
        <v>1074</v>
      </c>
      <c r="D670" s="8" t="s">
        <v>1075</v>
      </c>
      <c r="E670" s="2" t="s">
        <v>23</v>
      </c>
      <c r="F670" s="29">
        <f t="shared" si="59"/>
        <v>759.87715000000003</v>
      </c>
      <c r="G670" s="29">
        <v>759.87715000000003</v>
      </c>
      <c r="H670" s="29">
        <v>0</v>
      </c>
      <c r="I670" s="29">
        <v>0</v>
      </c>
      <c r="J670" s="29">
        <v>0</v>
      </c>
      <c r="K670" s="28" t="s">
        <v>418</v>
      </c>
    </row>
    <row r="671" spans="1:11" s="30" customFormat="1" ht="33" customHeight="1" x14ac:dyDescent="0.25">
      <c r="A671" s="2">
        <v>15</v>
      </c>
      <c r="B671" s="162"/>
      <c r="C671" s="23" t="s">
        <v>1076</v>
      </c>
      <c r="D671" s="8" t="s">
        <v>1077</v>
      </c>
      <c r="E671" s="2" t="s">
        <v>23</v>
      </c>
      <c r="F671" s="29">
        <f t="shared" si="59"/>
        <v>906.60194999999999</v>
      </c>
      <c r="G671" s="29">
        <v>906.60194999999999</v>
      </c>
      <c r="H671" s="29">
        <v>0</v>
      </c>
      <c r="I671" s="29">
        <v>0</v>
      </c>
      <c r="J671" s="29">
        <v>0</v>
      </c>
      <c r="K671" s="28" t="s">
        <v>418</v>
      </c>
    </row>
    <row r="672" spans="1:11" s="30" customFormat="1" ht="30" x14ac:dyDescent="0.25">
      <c r="A672" s="2">
        <v>16</v>
      </c>
      <c r="B672" s="162"/>
      <c r="C672" s="23" t="s">
        <v>1078</v>
      </c>
      <c r="D672" s="8" t="s">
        <v>1079</v>
      </c>
      <c r="E672" s="2" t="s">
        <v>23</v>
      </c>
      <c r="F672" s="29">
        <f t="shared" si="59"/>
        <v>995.88109999999995</v>
      </c>
      <c r="G672" s="29">
        <v>995.88109999999995</v>
      </c>
      <c r="H672" s="29">
        <v>0</v>
      </c>
      <c r="I672" s="29">
        <v>0</v>
      </c>
      <c r="J672" s="29">
        <v>0</v>
      </c>
      <c r="K672" s="28" t="s">
        <v>418</v>
      </c>
    </row>
    <row r="673" spans="1:11" s="30" customFormat="1" ht="30" x14ac:dyDescent="0.25">
      <c r="A673" s="2">
        <v>50</v>
      </c>
      <c r="B673" s="162"/>
      <c r="C673" s="23" t="s">
        <v>1080</v>
      </c>
      <c r="D673" s="8" t="s">
        <v>1081</v>
      </c>
      <c r="E673" s="2" t="s">
        <v>23</v>
      </c>
      <c r="F673" s="29">
        <f t="shared" si="59"/>
        <v>2400</v>
      </c>
      <c r="G673" s="29">
        <v>2400</v>
      </c>
      <c r="H673" s="29">
        <v>0</v>
      </c>
      <c r="I673" s="29">
        <v>0</v>
      </c>
      <c r="J673" s="29">
        <v>0</v>
      </c>
      <c r="K673" s="28" t="s">
        <v>418</v>
      </c>
    </row>
    <row r="674" spans="1:11" s="30" customFormat="1" ht="34.15" customHeight="1" x14ac:dyDescent="0.25">
      <c r="A674" s="2">
        <v>51</v>
      </c>
      <c r="B674" s="162"/>
      <c r="C674" s="72" t="s">
        <v>1082</v>
      </c>
      <c r="D674" s="8" t="s">
        <v>1083</v>
      </c>
      <c r="E674" s="8" t="s">
        <v>863</v>
      </c>
      <c r="F674" s="29">
        <f t="shared" si="59"/>
        <v>2434.1675500000001</v>
      </c>
      <c r="G674" s="29">
        <v>2434.1675500000001</v>
      </c>
      <c r="H674" s="29">
        <v>0</v>
      </c>
      <c r="I674" s="29">
        <v>0</v>
      </c>
      <c r="J674" s="29">
        <v>0</v>
      </c>
      <c r="K674" s="28" t="s">
        <v>1084</v>
      </c>
    </row>
    <row r="675" spans="1:11" s="30" customFormat="1" ht="30" x14ac:dyDescent="0.25">
      <c r="A675" s="2">
        <v>54</v>
      </c>
      <c r="B675" s="162"/>
      <c r="C675" s="23" t="s">
        <v>1085</v>
      </c>
      <c r="D675" s="8" t="s">
        <v>1086</v>
      </c>
      <c r="E675" s="2" t="s">
        <v>23</v>
      </c>
      <c r="F675" s="29">
        <f t="shared" si="59"/>
        <v>569.94574</v>
      </c>
      <c r="G675" s="29">
        <v>569.94574</v>
      </c>
      <c r="H675" s="29">
        <v>0</v>
      </c>
      <c r="I675" s="29">
        <v>0</v>
      </c>
      <c r="J675" s="29">
        <v>0</v>
      </c>
      <c r="K675" s="28" t="s">
        <v>1084</v>
      </c>
    </row>
    <row r="676" spans="1:11" s="30" customFormat="1" ht="30" x14ac:dyDescent="0.25">
      <c r="A676" s="2">
        <v>66</v>
      </c>
      <c r="B676" s="162"/>
      <c r="C676" s="59" t="s">
        <v>1087</v>
      </c>
      <c r="D676" s="10" t="s">
        <v>1088</v>
      </c>
      <c r="E676" s="2" t="s">
        <v>23</v>
      </c>
      <c r="F676" s="29">
        <f t="shared" si="59"/>
        <v>4223.04</v>
      </c>
      <c r="G676" s="29">
        <v>0</v>
      </c>
      <c r="H676" s="29">
        <v>3832.96</v>
      </c>
      <c r="I676" s="29">
        <v>390.08</v>
      </c>
      <c r="J676" s="29">
        <v>0</v>
      </c>
      <c r="K676" s="28" t="s">
        <v>240</v>
      </c>
    </row>
    <row r="677" spans="1:11" s="30" customFormat="1" ht="30" x14ac:dyDescent="0.25">
      <c r="A677" s="2">
        <v>67</v>
      </c>
      <c r="B677" s="162"/>
      <c r="C677" s="59" t="s">
        <v>1089</v>
      </c>
      <c r="D677" s="10" t="s">
        <v>1090</v>
      </c>
      <c r="E677" s="2" t="s">
        <v>23</v>
      </c>
      <c r="F677" s="29">
        <f t="shared" si="59"/>
        <v>2988</v>
      </c>
      <c r="G677" s="29">
        <v>0</v>
      </c>
      <c r="H677" s="29">
        <v>2712</v>
      </c>
      <c r="I677" s="29">
        <v>276</v>
      </c>
      <c r="J677" s="29">
        <v>0</v>
      </c>
      <c r="K677" s="28" t="s">
        <v>240</v>
      </c>
    </row>
    <row r="678" spans="1:11" s="30" customFormat="1" ht="30" x14ac:dyDescent="0.25">
      <c r="A678" s="2">
        <v>68</v>
      </c>
      <c r="B678" s="162"/>
      <c r="C678" s="59" t="s">
        <v>1091</v>
      </c>
      <c r="D678" s="10" t="s">
        <v>135</v>
      </c>
      <c r="E678" s="2" t="s">
        <v>23</v>
      </c>
      <c r="F678" s="29">
        <f t="shared" si="59"/>
        <v>1832.6399999999999</v>
      </c>
      <c r="G678" s="29">
        <v>0</v>
      </c>
      <c r="H678" s="29">
        <v>1663.36</v>
      </c>
      <c r="I678" s="29">
        <v>169.28</v>
      </c>
      <c r="J678" s="29">
        <v>0</v>
      </c>
      <c r="K678" s="28" t="s">
        <v>240</v>
      </c>
    </row>
    <row r="679" spans="1:11" s="30" customFormat="1" ht="30" x14ac:dyDescent="0.25">
      <c r="A679" s="2">
        <v>72</v>
      </c>
      <c r="B679" s="162"/>
      <c r="C679" s="59" t="s">
        <v>1092</v>
      </c>
      <c r="D679" s="10" t="s">
        <v>207</v>
      </c>
      <c r="E679" s="2" t="s">
        <v>23</v>
      </c>
      <c r="F679" s="29">
        <f t="shared" si="59"/>
        <v>755.94007000000011</v>
      </c>
      <c r="G679" s="29">
        <v>0</v>
      </c>
      <c r="H679" s="29">
        <v>686.02191000000005</v>
      </c>
      <c r="I679" s="29">
        <v>69.91816</v>
      </c>
      <c r="J679" s="29">
        <v>0</v>
      </c>
      <c r="K679" s="28" t="s">
        <v>240</v>
      </c>
    </row>
    <row r="680" spans="1:11" s="30" customFormat="1" ht="30" x14ac:dyDescent="0.25">
      <c r="A680" s="2">
        <v>73</v>
      </c>
      <c r="B680" s="163"/>
      <c r="C680" s="59" t="s">
        <v>1093</v>
      </c>
      <c r="D680" s="10" t="s">
        <v>1094</v>
      </c>
      <c r="E680" s="2" t="s">
        <v>23</v>
      </c>
      <c r="F680" s="29">
        <f t="shared" si="59"/>
        <v>1702.5060000000001</v>
      </c>
      <c r="G680" s="29">
        <v>0</v>
      </c>
      <c r="H680" s="29">
        <v>1702.5060000000001</v>
      </c>
      <c r="I680" s="29">
        <v>0</v>
      </c>
      <c r="J680" s="29">
        <v>0</v>
      </c>
      <c r="K680" s="28" t="s">
        <v>37</v>
      </c>
    </row>
    <row r="681" spans="1:11" s="34" customFormat="1" ht="15" customHeight="1" x14ac:dyDescent="0.25">
      <c r="A681" s="188" t="s">
        <v>1238</v>
      </c>
      <c r="B681" s="189"/>
      <c r="C681" s="189"/>
      <c r="D681" s="189"/>
      <c r="E681" s="190"/>
      <c r="F681" s="73">
        <f>SUM(F657:F680)</f>
        <v>60867.01425</v>
      </c>
      <c r="G681" s="73">
        <f t="shared" ref="G681:I681" si="60">SUM(G657:G680)</f>
        <v>49364.888180000002</v>
      </c>
      <c r="H681" s="73">
        <f t="shared" si="60"/>
        <v>10596.847909999999</v>
      </c>
      <c r="I681" s="73">
        <f t="shared" si="60"/>
        <v>905.27815999999984</v>
      </c>
      <c r="J681" s="29">
        <v>0</v>
      </c>
      <c r="K681" s="45"/>
    </row>
    <row r="682" spans="1:11" s="30" customFormat="1" ht="30" x14ac:dyDescent="0.25">
      <c r="A682" s="2">
        <v>1</v>
      </c>
      <c r="B682" s="161" t="s">
        <v>1047</v>
      </c>
      <c r="C682" s="59" t="s">
        <v>1095</v>
      </c>
      <c r="D682" s="10" t="s">
        <v>1096</v>
      </c>
      <c r="E682" s="2" t="s">
        <v>23</v>
      </c>
      <c r="F682" s="29">
        <f>SUM(G682:J682)</f>
        <v>11596.71092</v>
      </c>
      <c r="G682" s="29">
        <v>0</v>
      </c>
      <c r="H682" s="29">
        <v>11596.71092</v>
      </c>
      <c r="I682" s="60">
        <v>0</v>
      </c>
      <c r="J682" s="60">
        <v>0</v>
      </c>
      <c r="K682" s="28" t="s">
        <v>65</v>
      </c>
    </row>
    <row r="683" spans="1:11" s="30" customFormat="1" ht="30" x14ac:dyDescent="0.25">
      <c r="A683" s="2">
        <v>2</v>
      </c>
      <c r="B683" s="162"/>
      <c r="C683" s="59" t="s">
        <v>1097</v>
      </c>
      <c r="D683" s="10" t="s">
        <v>1098</v>
      </c>
      <c r="E683" s="2" t="s">
        <v>23</v>
      </c>
      <c r="F683" s="29">
        <f t="shared" si="59"/>
        <v>13538.35102</v>
      </c>
      <c r="G683" s="29">
        <v>0</v>
      </c>
      <c r="H683" s="29">
        <v>13538.35102</v>
      </c>
      <c r="I683" s="60">
        <v>0</v>
      </c>
      <c r="J683" s="60">
        <v>0</v>
      </c>
      <c r="K683" s="28" t="s">
        <v>65</v>
      </c>
    </row>
    <row r="684" spans="1:11" s="30" customFormat="1" ht="30" x14ac:dyDescent="0.25">
      <c r="A684" s="2">
        <v>3</v>
      </c>
      <c r="B684" s="162"/>
      <c r="C684" s="59" t="s">
        <v>1099</v>
      </c>
      <c r="D684" s="10" t="s">
        <v>1100</v>
      </c>
      <c r="E684" s="2" t="s">
        <v>23</v>
      </c>
      <c r="F684" s="29">
        <f t="shared" si="59"/>
        <v>2871.9205099999999</v>
      </c>
      <c r="G684" s="29">
        <v>0</v>
      </c>
      <c r="H684" s="29">
        <v>2871.9205099999999</v>
      </c>
      <c r="I684" s="60">
        <v>0</v>
      </c>
      <c r="J684" s="60">
        <v>0</v>
      </c>
      <c r="K684" s="28" t="s">
        <v>65</v>
      </c>
    </row>
    <row r="685" spans="1:11" s="30" customFormat="1" ht="30" x14ac:dyDescent="0.25">
      <c r="A685" s="2">
        <v>4</v>
      </c>
      <c r="B685" s="162"/>
      <c r="C685" s="59" t="s">
        <v>1101</v>
      </c>
      <c r="D685" s="10" t="s">
        <v>1102</v>
      </c>
      <c r="E685" s="2" t="s">
        <v>23</v>
      </c>
      <c r="F685" s="29">
        <f t="shared" si="59"/>
        <v>1770.71551</v>
      </c>
      <c r="G685" s="29">
        <v>0</v>
      </c>
      <c r="H685" s="29">
        <v>1770.71551</v>
      </c>
      <c r="I685" s="60">
        <v>0</v>
      </c>
      <c r="J685" s="60">
        <v>0</v>
      </c>
      <c r="K685" s="28" t="s">
        <v>65</v>
      </c>
    </row>
    <row r="686" spans="1:11" s="30" customFormat="1" ht="30" x14ac:dyDescent="0.25">
      <c r="A686" s="2">
        <v>5</v>
      </c>
      <c r="B686" s="162"/>
      <c r="C686" s="59" t="s">
        <v>1103</v>
      </c>
      <c r="D686" s="10" t="s">
        <v>1104</v>
      </c>
      <c r="E686" s="2" t="s">
        <v>23</v>
      </c>
      <c r="F686" s="29">
        <f t="shared" si="59"/>
        <v>6025.1036799999993</v>
      </c>
      <c r="G686" s="29">
        <v>0</v>
      </c>
      <c r="H686" s="29">
        <v>6025.1036799999993</v>
      </c>
      <c r="I686" s="60">
        <v>0</v>
      </c>
      <c r="J686" s="60">
        <v>0</v>
      </c>
      <c r="K686" s="28" t="s">
        <v>65</v>
      </c>
    </row>
    <row r="687" spans="1:11" s="30" customFormat="1" ht="30" x14ac:dyDescent="0.25">
      <c r="A687" s="2">
        <v>6</v>
      </c>
      <c r="B687" s="162"/>
      <c r="C687" s="59" t="s">
        <v>1105</v>
      </c>
      <c r="D687" s="10" t="s">
        <v>1106</v>
      </c>
      <c r="E687" s="2" t="s">
        <v>23</v>
      </c>
      <c r="F687" s="29">
        <f t="shared" si="59"/>
        <v>4025.0830299999998</v>
      </c>
      <c r="G687" s="29">
        <v>0</v>
      </c>
      <c r="H687" s="29">
        <v>4025.0830299999998</v>
      </c>
      <c r="I687" s="60">
        <v>0</v>
      </c>
      <c r="J687" s="60">
        <v>0</v>
      </c>
      <c r="K687" s="28" t="s">
        <v>65</v>
      </c>
    </row>
    <row r="688" spans="1:11" s="30" customFormat="1" ht="30" x14ac:dyDescent="0.25">
      <c r="A688" s="2">
        <v>7</v>
      </c>
      <c r="B688" s="162"/>
      <c r="C688" s="59" t="s">
        <v>1107</v>
      </c>
      <c r="D688" s="10" t="s">
        <v>1108</v>
      </c>
      <c r="E688" s="2" t="s">
        <v>23</v>
      </c>
      <c r="F688" s="29">
        <f t="shared" si="59"/>
        <v>27436.874399999997</v>
      </c>
      <c r="G688" s="29">
        <v>0</v>
      </c>
      <c r="H688" s="29">
        <v>27436.874399999997</v>
      </c>
      <c r="I688" s="60">
        <v>0</v>
      </c>
      <c r="J688" s="60">
        <v>0</v>
      </c>
      <c r="K688" s="28" t="s">
        <v>65</v>
      </c>
    </row>
    <row r="689" spans="1:11" s="30" customFormat="1" ht="30" x14ac:dyDescent="0.25">
      <c r="A689" s="2">
        <v>8</v>
      </c>
      <c r="B689" s="162"/>
      <c r="C689" s="59" t="s">
        <v>1109</v>
      </c>
      <c r="D689" s="10" t="s">
        <v>1110</v>
      </c>
      <c r="E689" s="2" t="s">
        <v>23</v>
      </c>
      <c r="F689" s="29">
        <f t="shared" si="59"/>
        <v>88638.463900000002</v>
      </c>
      <c r="G689" s="29">
        <v>0</v>
      </c>
      <c r="H689" s="29">
        <v>88638.463900000002</v>
      </c>
      <c r="I689" s="60">
        <v>0</v>
      </c>
      <c r="J689" s="60">
        <v>0</v>
      </c>
      <c r="K689" s="28" t="s">
        <v>65</v>
      </c>
    </row>
    <row r="690" spans="1:11" s="30" customFormat="1" ht="45" x14ac:dyDescent="0.25">
      <c r="A690" s="2">
        <v>9</v>
      </c>
      <c r="B690" s="162"/>
      <c r="C690" s="59" t="s">
        <v>1111</v>
      </c>
      <c r="D690" s="10" t="s">
        <v>1112</v>
      </c>
      <c r="E690" s="2" t="s">
        <v>23</v>
      </c>
      <c r="F690" s="29">
        <f t="shared" si="59"/>
        <v>5547.5379699999994</v>
      </c>
      <c r="G690" s="29">
        <v>0</v>
      </c>
      <c r="H690" s="29">
        <v>5547.5379699999994</v>
      </c>
      <c r="I690" s="60">
        <v>0</v>
      </c>
      <c r="J690" s="60">
        <v>0</v>
      </c>
      <c r="K690" s="28" t="s">
        <v>65</v>
      </c>
    </row>
    <row r="691" spans="1:11" s="30" customFormat="1" ht="45.6" customHeight="1" x14ac:dyDescent="0.25">
      <c r="A691" s="2">
        <v>10</v>
      </c>
      <c r="B691" s="162"/>
      <c r="C691" s="59" t="s">
        <v>1113</v>
      </c>
      <c r="D691" s="10" t="s">
        <v>1114</v>
      </c>
      <c r="E691" s="2" t="s">
        <v>23</v>
      </c>
      <c r="F691" s="29">
        <f t="shared" si="59"/>
        <v>2458.2013700000002</v>
      </c>
      <c r="G691" s="29">
        <v>0</v>
      </c>
      <c r="H691" s="29">
        <v>2458.2013700000002</v>
      </c>
      <c r="I691" s="60">
        <v>0</v>
      </c>
      <c r="J691" s="60">
        <v>0</v>
      </c>
      <c r="K691" s="28" t="s">
        <v>65</v>
      </c>
    </row>
    <row r="692" spans="1:11" s="30" customFormat="1" ht="34.9" customHeight="1" x14ac:dyDescent="0.25">
      <c r="A692" s="2">
        <v>11</v>
      </c>
      <c r="B692" s="162"/>
      <c r="C692" s="59" t="s">
        <v>1115</v>
      </c>
      <c r="D692" s="10" t="s">
        <v>1116</v>
      </c>
      <c r="E692" s="2" t="s">
        <v>23</v>
      </c>
      <c r="F692" s="29">
        <f t="shared" si="59"/>
        <v>847.74487999999997</v>
      </c>
      <c r="G692" s="29">
        <v>0</v>
      </c>
      <c r="H692" s="29">
        <v>847.74487999999997</v>
      </c>
      <c r="I692" s="60">
        <v>0</v>
      </c>
      <c r="J692" s="60">
        <v>0</v>
      </c>
      <c r="K692" s="28" t="s">
        <v>65</v>
      </c>
    </row>
    <row r="693" spans="1:11" s="30" customFormat="1" ht="30" x14ac:dyDescent="0.25">
      <c r="A693" s="2">
        <v>12</v>
      </c>
      <c r="B693" s="162"/>
      <c r="C693" s="59" t="s">
        <v>1117</v>
      </c>
      <c r="D693" s="10" t="s">
        <v>1118</v>
      </c>
      <c r="E693" s="2" t="s">
        <v>23</v>
      </c>
      <c r="F693" s="29">
        <f t="shared" si="59"/>
        <v>1976.80098</v>
      </c>
      <c r="G693" s="29">
        <v>0</v>
      </c>
      <c r="H693" s="29">
        <v>1976.80098</v>
      </c>
      <c r="I693" s="60">
        <v>0</v>
      </c>
      <c r="J693" s="60">
        <v>0</v>
      </c>
      <c r="K693" s="28" t="s">
        <v>284</v>
      </c>
    </row>
    <row r="694" spans="1:11" s="30" customFormat="1" ht="30.6" customHeight="1" x14ac:dyDescent="0.25">
      <c r="A694" s="2">
        <v>13</v>
      </c>
      <c r="B694" s="162"/>
      <c r="C694" s="59" t="s">
        <v>1119</v>
      </c>
      <c r="D694" s="10" t="s">
        <v>1120</v>
      </c>
      <c r="E694" s="2" t="s">
        <v>23</v>
      </c>
      <c r="F694" s="29">
        <f t="shared" si="59"/>
        <v>17437.171300000002</v>
      </c>
      <c r="G694" s="29">
        <v>0</v>
      </c>
      <c r="H694" s="29">
        <v>17437.171300000002</v>
      </c>
      <c r="I694" s="60">
        <v>0</v>
      </c>
      <c r="J694" s="60">
        <v>0</v>
      </c>
      <c r="K694" s="28" t="s">
        <v>65</v>
      </c>
    </row>
    <row r="695" spans="1:11" s="30" customFormat="1" ht="35.450000000000003" customHeight="1" x14ac:dyDescent="0.25">
      <c r="A695" s="2">
        <v>14</v>
      </c>
      <c r="B695" s="162"/>
      <c r="C695" s="59" t="s">
        <v>1121</v>
      </c>
      <c r="D695" s="10" t="s">
        <v>1122</v>
      </c>
      <c r="E695" s="2" t="s">
        <v>23</v>
      </c>
      <c r="F695" s="29">
        <f t="shared" si="59"/>
        <v>1510.43001</v>
      </c>
      <c r="G695" s="29">
        <v>0</v>
      </c>
      <c r="H695" s="29">
        <v>1510.43001</v>
      </c>
      <c r="I695" s="60">
        <v>0</v>
      </c>
      <c r="J695" s="60">
        <v>0</v>
      </c>
      <c r="K695" s="28" t="s">
        <v>65</v>
      </c>
    </row>
    <row r="696" spans="1:11" s="30" customFormat="1" ht="30" x14ac:dyDescent="0.25">
      <c r="A696" s="2">
        <v>15</v>
      </c>
      <c r="B696" s="162"/>
      <c r="C696" s="59" t="s">
        <v>1123</v>
      </c>
      <c r="D696" s="10" t="s">
        <v>1124</v>
      </c>
      <c r="E696" s="2" t="s">
        <v>23</v>
      </c>
      <c r="F696" s="29">
        <f t="shared" si="59"/>
        <v>2515.1059700000001</v>
      </c>
      <c r="G696" s="29">
        <v>0</v>
      </c>
      <c r="H696" s="29">
        <v>2515.1059700000001</v>
      </c>
      <c r="I696" s="60">
        <v>0</v>
      </c>
      <c r="J696" s="60">
        <v>0</v>
      </c>
      <c r="K696" s="28" t="s">
        <v>65</v>
      </c>
    </row>
    <row r="697" spans="1:11" s="30" customFormat="1" ht="30" x14ac:dyDescent="0.25">
      <c r="A697" s="2">
        <v>16</v>
      </c>
      <c r="B697" s="162"/>
      <c r="C697" s="59" t="s">
        <v>1125</v>
      </c>
      <c r="D697" s="10" t="s">
        <v>1126</v>
      </c>
      <c r="E697" s="2" t="s">
        <v>23</v>
      </c>
      <c r="F697" s="29">
        <f t="shared" si="59"/>
        <v>17588.258969999999</v>
      </c>
      <c r="G697" s="29">
        <v>0</v>
      </c>
      <c r="H697" s="29">
        <v>17588.258969999999</v>
      </c>
      <c r="I697" s="60">
        <v>0</v>
      </c>
      <c r="J697" s="60">
        <v>0</v>
      </c>
      <c r="K697" s="28" t="s">
        <v>65</v>
      </c>
    </row>
    <row r="698" spans="1:11" s="30" customFormat="1" ht="30" x14ac:dyDescent="0.25">
      <c r="A698" s="2">
        <v>17</v>
      </c>
      <c r="B698" s="162"/>
      <c r="C698" s="59" t="s">
        <v>1127</v>
      </c>
      <c r="D698" s="10" t="s">
        <v>1128</v>
      </c>
      <c r="E698" s="2" t="s">
        <v>23</v>
      </c>
      <c r="F698" s="29">
        <f t="shared" si="59"/>
        <v>2594.0475899999997</v>
      </c>
      <c r="G698" s="29">
        <v>0</v>
      </c>
      <c r="H698" s="29">
        <v>2594.0475899999997</v>
      </c>
      <c r="I698" s="60">
        <v>0</v>
      </c>
      <c r="J698" s="60">
        <v>0</v>
      </c>
      <c r="K698" s="28" t="s">
        <v>65</v>
      </c>
    </row>
    <row r="699" spans="1:11" s="30" customFormat="1" ht="30" x14ac:dyDescent="0.25">
      <c r="A699" s="2">
        <v>18</v>
      </c>
      <c r="B699" s="162"/>
      <c r="C699" s="59" t="s">
        <v>1129</v>
      </c>
      <c r="D699" s="10" t="s">
        <v>1130</v>
      </c>
      <c r="E699" s="2" t="s">
        <v>23</v>
      </c>
      <c r="F699" s="29">
        <f t="shared" si="59"/>
        <v>8161.2600599999996</v>
      </c>
      <c r="G699" s="29">
        <v>0</v>
      </c>
      <c r="H699" s="29">
        <v>8161.2600599999996</v>
      </c>
      <c r="I699" s="60">
        <v>0</v>
      </c>
      <c r="J699" s="60">
        <v>0</v>
      </c>
      <c r="K699" s="28" t="s">
        <v>65</v>
      </c>
    </row>
    <row r="700" spans="1:11" s="30" customFormat="1" ht="45" x14ac:dyDescent="0.25">
      <c r="A700" s="2">
        <v>19</v>
      </c>
      <c r="B700" s="162"/>
      <c r="C700" s="59" t="s">
        <v>1131</v>
      </c>
      <c r="D700" s="10" t="s">
        <v>1132</v>
      </c>
      <c r="E700" s="2" t="s">
        <v>23</v>
      </c>
      <c r="F700" s="29">
        <f t="shared" si="59"/>
        <v>1683.84898</v>
      </c>
      <c r="G700" s="29">
        <v>0</v>
      </c>
      <c r="H700" s="29">
        <v>1683.84898</v>
      </c>
      <c r="I700" s="60">
        <v>0</v>
      </c>
      <c r="J700" s="60">
        <v>0</v>
      </c>
      <c r="K700" s="28" t="s">
        <v>65</v>
      </c>
    </row>
    <row r="701" spans="1:11" s="30" customFormat="1" ht="30" x14ac:dyDescent="0.25">
      <c r="A701" s="2">
        <v>20</v>
      </c>
      <c r="B701" s="162"/>
      <c r="C701" s="59" t="s">
        <v>1133</v>
      </c>
      <c r="D701" s="10" t="s">
        <v>1134</v>
      </c>
      <c r="E701" s="2" t="s">
        <v>23</v>
      </c>
      <c r="F701" s="29">
        <f t="shared" si="59"/>
        <v>607.43236000000002</v>
      </c>
      <c r="G701" s="29">
        <v>0</v>
      </c>
      <c r="H701" s="29">
        <v>607.43236000000002</v>
      </c>
      <c r="I701" s="60">
        <v>0</v>
      </c>
      <c r="J701" s="60">
        <v>0</v>
      </c>
      <c r="K701" s="28" t="s">
        <v>65</v>
      </c>
    </row>
    <row r="702" spans="1:11" s="30" customFormat="1" ht="45" x14ac:dyDescent="0.25">
      <c r="A702" s="2">
        <v>21</v>
      </c>
      <c r="B702" s="162"/>
      <c r="C702" s="59" t="s">
        <v>1135</v>
      </c>
      <c r="D702" s="10" t="s">
        <v>1136</v>
      </c>
      <c r="E702" s="2" t="s">
        <v>23</v>
      </c>
      <c r="F702" s="29">
        <f t="shared" si="59"/>
        <v>6496.15049</v>
      </c>
      <c r="G702" s="29">
        <v>0</v>
      </c>
      <c r="H702" s="29">
        <v>6496.15049</v>
      </c>
      <c r="I702" s="60">
        <v>0</v>
      </c>
      <c r="J702" s="60">
        <v>0</v>
      </c>
      <c r="K702" s="28" t="s">
        <v>65</v>
      </c>
    </row>
    <row r="703" spans="1:11" s="30" customFormat="1" ht="30" x14ac:dyDescent="0.25">
      <c r="A703" s="2">
        <v>22</v>
      </c>
      <c r="B703" s="162"/>
      <c r="C703" s="59" t="s">
        <v>1137</v>
      </c>
      <c r="D703" s="10" t="s">
        <v>1138</v>
      </c>
      <c r="E703" s="2" t="s">
        <v>23</v>
      </c>
      <c r="F703" s="29">
        <f t="shared" si="59"/>
        <v>3849.92</v>
      </c>
      <c r="G703" s="29">
        <v>0</v>
      </c>
      <c r="H703" s="29">
        <v>0</v>
      </c>
      <c r="I703" s="29">
        <v>3849.92</v>
      </c>
      <c r="J703" s="60">
        <v>0</v>
      </c>
      <c r="K703" s="28" t="s">
        <v>1139</v>
      </c>
    </row>
    <row r="704" spans="1:11" s="30" customFormat="1" ht="30" x14ac:dyDescent="0.25">
      <c r="A704" s="2">
        <v>23</v>
      </c>
      <c r="B704" s="162"/>
      <c r="C704" s="59" t="s">
        <v>1140</v>
      </c>
      <c r="D704" s="10" t="s">
        <v>1141</v>
      </c>
      <c r="E704" s="2" t="s">
        <v>23</v>
      </c>
      <c r="F704" s="29">
        <f t="shared" si="59"/>
        <v>2724</v>
      </c>
      <c r="G704" s="29">
        <v>0</v>
      </c>
      <c r="H704" s="29">
        <v>0</v>
      </c>
      <c r="I704" s="29">
        <v>2724</v>
      </c>
      <c r="J704" s="60">
        <v>0</v>
      </c>
      <c r="K704" s="28" t="s">
        <v>1139</v>
      </c>
    </row>
    <row r="705" spans="1:11" s="30" customFormat="1" ht="30" x14ac:dyDescent="0.25">
      <c r="A705" s="2">
        <v>24</v>
      </c>
      <c r="B705" s="162"/>
      <c r="C705" s="59" t="s">
        <v>1142</v>
      </c>
      <c r="D705" s="10" t="s">
        <v>141</v>
      </c>
      <c r="E705" s="2" t="s">
        <v>23</v>
      </c>
      <c r="F705" s="29">
        <f t="shared" si="59"/>
        <v>1670.72</v>
      </c>
      <c r="G705" s="29">
        <v>0</v>
      </c>
      <c r="H705" s="29">
        <v>0</v>
      </c>
      <c r="I705" s="29">
        <v>1670.72</v>
      </c>
      <c r="J705" s="60">
        <v>0</v>
      </c>
      <c r="K705" s="28" t="s">
        <v>1139</v>
      </c>
    </row>
    <row r="706" spans="1:11" s="30" customFormat="1" ht="30" x14ac:dyDescent="0.25">
      <c r="A706" s="2">
        <v>25</v>
      </c>
      <c r="B706" s="162"/>
      <c r="C706" s="59" t="s">
        <v>1143</v>
      </c>
      <c r="D706" s="10" t="s">
        <v>287</v>
      </c>
      <c r="E706" s="2" t="s">
        <v>23</v>
      </c>
      <c r="F706" s="29">
        <f t="shared" si="59"/>
        <v>690.06183999999996</v>
      </c>
      <c r="G706" s="29">
        <v>0</v>
      </c>
      <c r="H706" s="29">
        <v>0</v>
      </c>
      <c r="I706" s="29">
        <v>690.06183999999996</v>
      </c>
      <c r="J706" s="60">
        <v>0</v>
      </c>
      <c r="K706" s="28" t="s">
        <v>1139</v>
      </c>
    </row>
    <row r="707" spans="1:11" s="30" customFormat="1" ht="30" x14ac:dyDescent="0.25">
      <c r="A707" s="2">
        <v>26</v>
      </c>
      <c r="B707" s="163"/>
      <c r="C707" s="59" t="s">
        <v>1144</v>
      </c>
      <c r="D707" s="10" t="s">
        <v>1145</v>
      </c>
      <c r="E707" s="2" t="s">
        <v>23</v>
      </c>
      <c r="F707" s="29">
        <f t="shared" si="59"/>
        <v>1707.1704</v>
      </c>
      <c r="G707" s="29">
        <v>0</v>
      </c>
      <c r="H707" s="29">
        <v>0</v>
      </c>
      <c r="I707" s="29">
        <v>1707.1704</v>
      </c>
      <c r="J707" s="60">
        <v>0</v>
      </c>
      <c r="K707" s="28" t="s">
        <v>63</v>
      </c>
    </row>
    <row r="708" spans="1:11" s="34" customFormat="1" ht="31.9" customHeight="1" x14ac:dyDescent="0.25">
      <c r="A708" s="188" t="s">
        <v>1239</v>
      </c>
      <c r="B708" s="189"/>
      <c r="C708" s="190"/>
      <c r="D708" s="20"/>
      <c r="E708" s="74"/>
      <c r="F708" s="66">
        <f>SUM(F682:F707)</f>
        <v>235969.08614000009</v>
      </c>
      <c r="G708" s="66">
        <f t="shared" ref="G708:J708" si="61">SUM(G682:G707)</f>
        <v>0</v>
      </c>
      <c r="H708" s="66">
        <f t="shared" si="61"/>
        <v>225327.21390000006</v>
      </c>
      <c r="I708" s="66">
        <f t="shared" si="61"/>
        <v>10641.872240000001</v>
      </c>
      <c r="J708" s="66">
        <f t="shared" si="61"/>
        <v>0</v>
      </c>
      <c r="K708" s="45"/>
    </row>
    <row r="709" spans="1:11" s="30" customFormat="1" ht="45" x14ac:dyDescent="0.25">
      <c r="A709" s="2">
        <v>1</v>
      </c>
      <c r="B709" s="161" t="s">
        <v>1047</v>
      </c>
      <c r="C709" s="59" t="s">
        <v>1146</v>
      </c>
      <c r="D709" s="10" t="s">
        <v>1147</v>
      </c>
      <c r="E709" s="2" t="s">
        <v>23</v>
      </c>
      <c r="F709" s="29">
        <f t="shared" si="59"/>
        <v>4853.24</v>
      </c>
      <c r="G709" s="60">
        <v>0</v>
      </c>
      <c r="H709" s="60">
        <v>0</v>
      </c>
      <c r="I709" s="29">
        <v>4853.24</v>
      </c>
      <c r="J709" s="60">
        <v>0</v>
      </c>
      <c r="K709" s="28" t="s">
        <v>291</v>
      </c>
    </row>
    <row r="710" spans="1:11" s="30" customFormat="1" ht="30" x14ac:dyDescent="0.25">
      <c r="A710" s="2">
        <v>2</v>
      </c>
      <c r="B710" s="162"/>
      <c r="C710" s="59" t="s">
        <v>1148</v>
      </c>
      <c r="D710" s="10" t="s">
        <v>1149</v>
      </c>
      <c r="E710" s="2" t="s">
        <v>23</v>
      </c>
      <c r="F710" s="29">
        <f t="shared" si="59"/>
        <v>2128.69</v>
      </c>
      <c r="G710" s="60">
        <v>0</v>
      </c>
      <c r="H710" s="60">
        <v>0</v>
      </c>
      <c r="I710" s="29">
        <v>2128.69</v>
      </c>
      <c r="J710" s="60">
        <v>0</v>
      </c>
      <c r="K710" s="28" t="s">
        <v>109</v>
      </c>
    </row>
    <row r="711" spans="1:11" s="30" customFormat="1" ht="30" x14ac:dyDescent="0.25">
      <c r="A711" s="2">
        <v>3</v>
      </c>
      <c r="B711" s="162"/>
      <c r="C711" s="59" t="s">
        <v>1150</v>
      </c>
      <c r="D711" s="10" t="s">
        <v>1151</v>
      </c>
      <c r="E711" s="2" t="s">
        <v>23</v>
      </c>
      <c r="F711" s="29">
        <f t="shared" si="59"/>
        <v>15756.67</v>
      </c>
      <c r="G711" s="60">
        <v>0</v>
      </c>
      <c r="H711" s="60">
        <v>0</v>
      </c>
      <c r="I711" s="29">
        <v>15756.67</v>
      </c>
      <c r="J711" s="60">
        <v>0</v>
      </c>
      <c r="K711" s="28" t="s">
        <v>109</v>
      </c>
    </row>
    <row r="712" spans="1:11" s="30" customFormat="1" ht="30" x14ac:dyDescent="0.25">
      <c r="A712" s="2">
        <v>4</v>
      </c>
      <c r="B712" s="162"/>
      <c r="C712" s="59" t="s">
        <v>1152</v>
      </c>
      <c r="D712" s="10" t="s">
        <v>1153</v>
      </c>
      <c r="E712" s="2" t="s">
        <v>23</v>
      </c>
      <c r="F712" s="29">
        <f t="shared" si="59"/>
        <v>3420.8738800000001</v>
      </c>
      <c r="G712" s="60">
        <v>0</v>
      </c>
      <c r="H712" s="60">
        <v>0</v>
      </c>
      <c r="I712" s="29">
        <v>3420.8738800000001</v>
      </c>
      <c r="J712" s="60">
        <v>0</v>
      </c>
      <c r="K712" s="28" t="s">
        <v>109</v>
      </c>
    </row>
    <row r="713" spans="1:11" s="30" customFormat="1" ht="30" x14ac:dyDescent="0.25">
      <c r="A713" s="2">
        <v>5</v>
      </c>
      <c r="B713" s="162"/>
      <c r="C713" s="59" t="s">
        <v>1154</v>
      </c>
      <c r="D713" s="10" t="s">
        <v>1155</v>
      </c>
      <c r="E713" s="2" t="s">
        <v>23</v>
      </c>
      <c r="F713" s="29">
        <f t="shared" si="59"/>
        <v>4862.92</v>
      </c>
      <c r="G713" s="60">
        <v>0</v>
      </c>
      <c r="H713" s="60">
        <v>0</v>
      </c>
      <c r="I713" s="29">
        <v>4862.92</v>
      </c>
      <c r="J713" s="60">
        <v>0</v>
      </c>
      <c r="K713" s="28" t="s">
        <v>109</v>
      </c>
    </row>
    <row r="714" spans="1:11" s="30" customFormat="1" ht="30" x14ac:dyDescent="0.25">
      <c r="A714" s="2">
        <v>6</v>
      </c>
      <c r="B714" s="162"/>
      <c r="C714" s="59" t="s">
        <v>1156</v>
      </c>
      <c r="D714" s="10" t="s">
        <v>1157</v>
      </c>
      <c r="E714" s="2" t="s">
        <v>23</v>
      </c>
      <c r="F714" s="29">
        <f t="shared" si="59"/>
        <v>3991.02</v>
      </c>
      <c r="G714" s="60">
        <v>0</v>
      </c>
      <c r="H714" s="60">
        <v>0</v>
      </c>
      <c r="I714" s="29">
        <v>3991.02</v>
      </c>
      <c r="J714" s="60">
        <v>0</v>
      </c>
      <c r="K714" s="28" t="s">
        <v>109</v>
      </c>
    </row>
    <row r="715" spans="1:11" s="30" customFormat="1" ht="30" x14ac:dyDescent="0.25">
      <c r="A715" s="2">
        <v>7</v>
      </c>
      <c r="B715" s="162"/>
      <c r="C715" s="59" t="s">
        <v>1158</v>
      </c>
      <c r="D715" s="10" t="s">
        <v>1159</v>
      </c>
      <c r="E715" s="2" t="s">
        <v>23</v>
      </c>
      <c r="F715" s="29">
        <f t="shared" si="59"/>
        <v>4235.93</v>
      </c>
      <c r="G715" s="60">
        <v>0</v>
      </c>
      <c r="H715" s="60">
        <v>0</v>
      </c>
      <c r="I715" s="29">
        <v>4235.93</v>
      </c>
      <c r="J715" s="60">
        <v>0</v>
      </c>
      <c r="K715" s="28" t="s">
        <v>109</v>
      </c>
    </row>
    <row r="716" spans="1:11" s="30" customFormat="1" ht="30" x14ac:dyDescent="0.25">
      <c r="A716" s="2">
        <v>8</v>
      </c>
      <c r="B716" s="162"/>
      <c r="C716" s="59" t="s">
        <v>1160</v>
      </c>
      <c r="D716" s="10" t="s">
        <v>1102</v>
      </c>
      <c r="E716" s="2" t="s">
        <v>23</v>
      </c>
      <c r="F716" s="29">
        <f t="shared" si="59"/>
        <v>1833.1</v>
      </c>
      <c r="G716" s="60">
        <v>0</v>
      </c>
      <c r="H716" s="60">
        <v>0</v>
      </c>
      <c r="I716" s="29">
        <v>1833.1</v>
      </c>
      <c r="J716" s="60">
        <v>0</v>
      </c>
      <c r="K716" s="28" t="s">
        <v>109</v>
      </c>
    </row>
    <row r="717" spans="1:11" s="30" customFormat="1" ht="30" x14ac:dyDescent="0.25">
      <c r="A717" s="2">
        <v>9</v>
      </c>
      <c r="B717" s="162"/>
      <c r="C717" s="59" t="s">
        <v>1161</v>
      </c>
      <c r="D717" s="10" t="s">
        <v>1104</v>
      </c>
      <c r="E717" s="2" t="s">
        <v>23</v>
      </c>
      <c r="F717" s="29">
        <f t="shared" si="59"/>
        <v>2551.85</v>
      </c>
      <c r="G717" s="60">
        <v>0</v>
      </c>
      <c r="H717" s="60">
        <v>0</v>
      </c>
      <c r="I717" s="29">
        <v>2551.85</v>
      </c>
      <c r="J717" s="60">
        <v>0</v>
      </c>
      <c r="K717" s="28" t="s">
        <v>109</v>
      </c>
    </row>
    <row r="718" spans="1:11" s="30" customFormat="1" ht="30" x14ac:dyDescent="0.25">
      <c r="A718" s="2">
        <v>10</v>
      </c>
      <c r="B718" s="162"/>
      <c r="C718" s="59" t="s">
        <v>1162</v>
      </c>
      <c r="D718" s="10" t="s">
        <v>1106</v>
      </c>
      <c r="E718" s="2" t="s">
        <v>23</v>
      </c>
      <c r="F718" s="29">
        <f t="shared" si="59"/>
        <v>3640.5</v>
      </c>
      <c r="G718" s="60">
        <v>0</v>
      </c>
      <c r="H718" s="60">
        <v>0</v>
      </c>
      <c r="I718" s="29">
        <v>3640.5</v>
      </c>
      <c r="J718" s="60">
        <v>0</v>
      </c>
      <c r="K718" s="28" t="s">
        <v>115</v>
      </c>
    </row>
    <row r="719" spans="1:11" s="30" customFormat="1" ht="30" x14ac:dyDescent="0.25">
      <c r="A719" s="2">
        <v>11</v>
      </c>
      <c r="B719" s="162"/>
      <c r="C719" s="59" t="s">
        <v>1163</v>
      </c>
      <c r="D719" s="10" t="s">
        <v>1164</v>
      </c>
      <c r="E719" s="2" t="s">
        <v>23</v>
      </c>
      <c r="F719" s="29">
        <f t="shared" si="59"/>
        <v>32219.119999999999</v>
      </c>
      <c r="G719" s="60">
        <v>0</v>
      </c>
      <c r="H719" s="60">
        <v>0</v>
      </c>
      <c r="I719" s="29">
        <v>32219.119999999999</v>
      </c>
      <c r="J719" s="60">
        <v>0</v>
      </c>
      <c r="K719" s="28" t="s">
        <v>109</v>
      </c>
    </row>
    <row r="720" spans="1:11" s="30" customFormat="1" ht="30" x14ac:dyDescent="0.25">
      <c r="A720" s="2">
        <v>12</v>
      </c>
      <c r="B720" s="162"/>
      <c r="C720" s="59" t="s">
        <v>1165</v>
      </c>
      <c r="D720" s="10" t="s">
        <v>1110</v>
      </c>
      <c r="E720" s="2" t="s">
        <v>23</v>
      </c>
      <c r="F720" s="29">
        <f t="shared" si="59"/>
        <v>69668.98</v>
      </c>
      <c r="G720" s="60">
        <v>0</v>
      </c>
      <c r="H720" s="60">
        <v>0</v>
      </c>
      <c r="I720" s="29">
        <v>69668.98</v>
      </c>
      <c r="J720" s="60">
        <v>0</v>
      </c>
      <c r="K720" s="28" t="s">
        <v>109</v>
      </c>
    </row>
    <row r="721" spans="1:11" s="30" customFormat="1" ht="30" x14ac:dyDescent="0.25">
      <c r="A721" s="2">
        <v>13</v>
      </c>
      <c r="B721" s="162"/>
      <c r="C721" s="59" t="s">
        <v>1166</v>
      </c>
      <c r="D721" s="10" t="s">
        <v>1167</v>
      </c>
      <c r="E721" s="2" t="s">
        <v>23</v>
      </c>
      <c r="F721" s="29">
        <f t="shared" si="59"/>
        <v>23425.33</v>
      </c>
      <c r="G721" s="60">
        <v>0</v>
      </c>
      <c r="H721" s="60">
        <v>0</v>
      </c>
      <c r="I721" s="29">
        <v>23425.33</v>
      </c>
      <c r="J721" s="60">
        <v>0</v>
      </c>
      <c r="K721" s="28" t="s">
        <v>109</v>
      </c>
    </row>
    <row r="722" spans="1:11" s="30" customFormat="1" ht="30" x14ac:dyDescent="0.25">
      <c r="A722" s="2">
        <v>14</v>
      </c>
      <c r="B722" s="162"/>
      <c r="C722" s="59" t="s">
        <v>1168</v>
      </c>
      <c r="D722" s="10" t="s">
        <v>1169</v>
      </c>
      <c r="E722" s="2" t="s">
        <v>23</v>
      </c>
      <c r="F722" s="29">
        <f t="shared" ref="F722:F728" si="62">SUM(G722:J722)</f>
        <v>8106.67</v>
      </c>
      <c r="G722" s="60">
        <v>0</v>
      </c>
      <c r="H722" s="60">
        <v>0</v>
      </c>
      <c r="I722" s="29">
        <v>8106.67</v>
      </c>
      <c r="J722" s="60">
        <v>0</v>
      </c>
      <c r="K722" s="28" t="s">
        <v>109</v>
      </c>
    </row>
    <row r="723" spans="1:11" s="30" customFormat="1" ht="30" x14ac:dyDescent="0.25">
      <c r="A723" s="2">
        <v>15</v>
      </c>
      <c r="B723" s="162"/>
      <c r="C723" s="59" t="s">
        <v>1170</v>
      </c>
      <c r="D723" s="10" t="s">
        <v>1169</v>
      </c>
      <c r="E723" s="2" t="s">
        <v>23</v>
      </c>
      <c r="F723" s="29">
        <f t="shared" si="62"/>
        <v>2449.29</v>
      </c>
      <c r="G723" s="60">
        <v>0</v>
      </c>
      <c r="H723" s="60">
        <v>0</v>
      </c>
      <c r="I723" s="29">
        <v>2449.29</v>
      </c>
      <c r="J723" s="60">
        <v>0</v>
      </c>
      <c r="K723" s="28" t="s">
        <v>109</v>
      </c>
    </row>
    <row r="724" spans="1:11" s="30" customFormat="1" ht="30" x14ac:dyDescent="0.25">
      <c r="A724" s="2">
        <v>16</v>
      </c>
      <c r="B724" s="162"/>
      <c r="C724" s="59" t="s">
        <v>1171</v>
      </c>
      <c r="D724" s="10" t="s">
        <v>1172</v>
      </c>
      <c r="E724" s="2" t="s">
        <v>23</v>
      </c>
      <c r="F724" s="29">
        <f t="shared" si="62"/>
        <v>3684.98</v>
      </c>
      <c r="G724" s="60">
        <v>0</v>
      </c>
      <c r="H724" s="60">
        <v>0</v>
      </c>
      <c r="I724" s="29">
        <v>3684.98</v>
      </c>
      <c r="J724" s="60">
        <v>0</v>
      </c>
      <c r="K724" s="28" t="s">
        <v>109</v>
      </c>
    </row>
    <row r="725" spans="1:11" s="30" customFormat="1" ht="30" x14ac:dyDescent="0.25">
      <c r="A725" s="2">
        <v>17</v>
      </c>
      <c r="B725" s="162"/>
      <c r="C725" s="59" t="s">
        <v>1173</v>
      </c>
      <c r="D725" s="10" t="s">
        <v>1134</v>
      </c>
      <c r="E725" s="2" t="s">
        <v>23</v>
      </c>
      <c r="F725" s="29">
        <f t="shared" si="62"/>
        <v>1009.35</v>
      </c>
      <c r="G725" s="60">
        <v>0</v>
      </c>
      <c r="H725" s="60">
        <v>0</v>
      </c>
      <c r="I725" s="29">
        <v>1009.35</v>
      </c>
      <c r="J725" s="60">
        <v>0</v>
      </c>
      <c r="K725" s="28" t="s">
        <v>109</v>
      </c>
    </row>
    <row r="726" spans="1:11" s="30" customFormat="1" ht="30" x14ac:dyDescent="0.25">
      <c r="A726" s="2">
        <v>18</v>
      </c>
      <c r="B726" s="162"/>
      <c r="C726" s="59" t="s">
        <v>1174</v>
      </c>
      <c r="D726" s="10" t="s">
        <v>1175</v>
      </c>
      <c r="E726" s="2" t="s">
        <v>23</v>
      </c>
      <c r="F726" s="29">
        <f t="shared" si="62"/>
        <v>5397.76</v>
      </c>
      <c r="G726" s="60">
        <v>0</v>
      </c>
      <c r="H726" s="60">
        <v>0</v>
      </c>
      <c r="I726" s="29">
        <v>5397.76</v>
      </c>
      <c r="J726" s="60">
        <v>0</v>
      </c>
      <c r="K726" s="28" t="s">
        <v>109</v>
      </c>
    </row>
    <row r="727" spans="1:11" s="30" customFormat="1" ht="30" x14ac:dyDescent="0.25">
      <c r="A727" s="2">
        <v>19</v>
      </c>
      <c r="B727" s="162"/>
      <c r="C727" s="59" t="s">
        <v>1176</v>
      </c>
      <c r="D727" s="10" t="s">
        <v>1128</v>
      </c>
      <c r="E727" s="2" t="s">
        <v>23</v>
      </c>
      <c r="F727" s="29">
        <f t="shared" si="62"/>
        <v>2330.2800000000002</v>
      </c>
      <c r="G727" s="60">
        <v>0</v>
      </c>
      <c r="H727" s="60">
        <v>0</v>
      </c>
      <c r="I727" s="29">
        <v>2330.2800000000002</v>
      </c>
      <c r="J727" s="60">
        <v>0</v>
      </c>
      <c r="K727" s="28" t="s">
        <v>109</v>
      </c>
    </row>
    <row r="728" spans="1:11" s="30" customFormat="1" ht="30" x14ac:dyDescent="0.25">
      <c r="A728" s="2">
        <v>20</v>
      </c>
      <c r="B728" s="163"/>
      <c r="C728" s="59" t="s">
        <v>1177</v>
      </c>
      <c r="D728" s="10" t="s">
        <v>1178</v>
      </c>
      <c r="E728" s="2" t="s">
        <v>23</v>
      </c>
      <c r="F728" s="29">
        <f t="shared" si="62"/>
        <v>23110.42</v>
      </c>
      <c r="G728" s="60">
        <v>0</v>
      </c>
      <c r="H728" s="60">
        <v>0</v>
      </c>
      <c r="I728" s="29">
        <v>23110.42</v>
      </c>
      <c r="J728" s="60">
        <v>0</v>
      </c>
      <c r="K728" s="28" t="s">
        <v>291</v>
      </c>
    </row>
    <row r="729" spans="1:11" s="34" customFormat="1" ht="26.45" customHeight="1" x14ac:dyDescent="0.25">
      <c r="A729" s="188" t="s">
        <v>1240</v>
      </c>
      <c r="B729" s="189"/>
      <c r="C729" s="190"/>
      <c r="D729" s="20"/>
      <c r="E729" s="74"/>
      <c r="F729" s="32">
        <f>SUM(F709:F728)</f>
        <v>218676.97388000006</v>
      </c>
      <c r="G729" s="32">
        <f>SUM(G709:G728)</f>
        <v>0</v>
      </c>
      <c r="H729" s="32">
        <f>SUM(H709:H728)</f>
        <v>0</v>
      </c>
      <c r="I729" s="32">
        <f>SUM(I709:I728)</f>
        <v>218676.97388000006</v>
      </c>
      <c r="J729" s="32">
        <f>SUM(J709:J728)</f>
        <v>0</v>
      </c>
      <c r="K729" s="45"/>
    </row>
    <row r="730" spans="1:11" ht="39" customHeight="1" x14ac:dyDescent="0.25">
      <c r="A730" s="2">
        <v>1</v>
      </c>
      <c r="B730" s="162" t="s">
        <v>1241</v>
      </c>
      <c r="C730" s="8" t="s">
        <v>1243</v>
      </c>
      <c r="D730" s="8" t="s">
        <v>132</v>
      </c>
      <c r="E730" s="8" t="s">
        <v>23</v>
      </c>
      <c r="F730" s="75">
        <f>11760000/1000</f>
        <v>11760</v>
      </c>
      <c r="G730" s="76">
        <v>0</v>
      </c>
      <c r="H730" s="77">
        <f>5870500/1000</f>
        <v>5870.5</v>
      </c>
      <c r="I730" s="77">
        <f>5889500/1000</f>
        <v>5889.5</v>
      </c>
      <c r="J730" s="32">
        <v>0</v>
      </c>
      <c r="K730" s="10" t="s">
        <v>1244</v>
      </c>
    </row>
    <row r="731" spans="1:11" ht="52.9" customHeight="1" x14ac:dyDescent="0.25">
      <c r="A731" s="2">
        <v>2</v>
      </c>
      <c r="B731" s="163"/>
      <c r="C731" s="8" t="s">
        <v>1245</v>
      </c>
      <c r="D731" s="8" t="s">
        <v>1246</v>
      </c>
      <c r="E731" s="8" t="s">
        <v>23</v>
      </c>
      <c r="F731" s="75">
        <f>201600/1000</f>
        <v>201.6</v>
      </c>
      <c r="G731" s="76">
        <v>0</v>
      </c>
      <c r="H731" s="77">
        <f>100800/1000</f>
        <v>100.8</v>
      </c>
      <c r="I731" s="77">
        <f>100800/1000</f>
        <v>100.8</v>
      </c>
      <c r="J731" s="32">
        <v>0</v>
      </c>
      <c r="K731" s="10" t="s">
        <v>1244</v>
      </c>
    </row>
    <row r="732" spans="1:11" ht="18" customHeight="1" x14ac:dyDescent="0.25">
      <c r="A732" s="160" t="s">
        <v>1247</v>
      </c>
      <c r="B732" s="160"/>
      <c r="C732" s="160"/>
      <c r="D732" s="160"/>
      <c r="E732" s="2"/>
      <c r="F732" s="77">
        <f>SUM(F730:F731)</f>
        <v>11961.6</v>
      </c>
      <c r="G732" s="18">
        <f>SUM(G730:G731)</f>
        <v>0</v>
      </c>
      <c r="H732" s="77">
        <f>SUM(H730:H731)</f>
        <v>5971.3</v>
      </c>
      <c r="I732" s="77">
        <f>SUM(I730:I731)</f>
        <v>5990.3</v>
      </c>
      <c r="J732" s="32">
        <v>0</v>
      </c>
      <c r="K732" s="78"/>
    </row>
    <row r="733" spans="1:11" ht="93.6" customHeight="1" x14ac:dyDescent="0.25">
      <c r="A733" s="2">
        <v>1</v>
      </c>
      <c r="B733" s="2" t="s">
        <v>1241</v>
      </c>
      <c r="C733" s="8" t="s">
        <v>1248</v>
      </c>
      <c r="D733" s="8" t="s">
        <v>383</v>
      </c>
      <c r="E733" s="8" t="s">
        <v>23</v>
      </c>
      <c r="F733" s="77">
        <f>264020/1000</f>
        <v>264.02</v>
      </c>
      <c r="G733" s="76">
        <v>0</v>
      </c>
      <c r="H733" s="77">
        <f>264020/1000</f>
        <v>264.02</v>
      </c>
      <c r="I733" s="32">
        <v>0</v>
      </c>
      <c r="J733" s="32">
        <v>0</v>
      </c>
      <c r="K733" s="10" t="s">
        <v>1249</v>
      </c>
    </row>
    <row r="734" spans="1:11" ht="20.45" customHeight="1" x14ac:dyDescent="0.25">
      <c r="A734" s="173" t="s">
        <v>20</v>
      </c>
      <c r="B734" s="173"/>
      <c r="C734" s="173"/>
      <c r="D734" s="173"/>
      <c r="E734" s="2"/>
      <c r="F734" s="77">
        <f>SUM(F733:F733)</f>
        <v>264.02</v>
      </c>
      <c r="G734" s="18">
        <f t="shared" ref="G734:H734" si="63">SUM(G733:G733)</f>
        <v>0</v>
      </c>
      <c r="H734" s="77">
        <f t="shared" si="63"/>
        <v>264.02</v>
      </c>
      <c r="I734" s="32">
        <v>0</v>
      </c>
      <c r="J734" s="32">
        <v>0</v>
      </c>
      <c r="K734" s="78"/>
    </row>
    <row r="735" spans="1:11" ht="87.6" customHeight="1" x14ac:dyDescent="0.25">
      <c r="A735" s="2">
        <v>1</v>
      </c>
      <c r="B735" s="2" t="s">
        <v>1241</v>
      </c>
      <c r="C735" s="10" t="s">
        <v>1250</v>
      </c>
      <c r="D735" s="8" t="s">
        <v>383</v>
      </c>
      <c r="E735" s="8" t="s">
        <v>23</v>
      </c>
      <c r="F735" s="77">
        <f>264020/1000</f>
        <v>264.02</v>
      </c>
      <c r="G735" s="79">
        <v>0</v>
      </c>
      <c r="H735" s="79">
        <v>0</v>
      </c>
      <c r="I735" s="77">
        <f>264020/1000</f>
        <v>264.02</v>
      </c>
      <c r="J735" s="32">
        <v>0</v>
      </c>
      <c r="K735" s="10" t="s">
        <v>1251</v>
      </c>
    </row>
    <row r="736" spans="1:11" ht="18" customHeight="1" x14ac:dyDescent="0.25">
      <c r="A736" s="173" t="s">
        <v>1252</v>
      </c>
      <c r="B736" s="173"/>
      <c r="C736" s="173"/>
      <c r="D736" s="173"/>
      <c r="E736" s="2"/>
      <c r="F736" s="77">
        <f>SUM(F735)</f>
        <v>264.02</v>
      </c>
      <c r="G736" s="79">
        <v>0</v>
      </c>
      <c r="H736" s="79">
        <v>0</v>
      </c>
      <c r="I736" s="77">
        <f t="shared" ref="I736" si="64">SUM(I735)</f>
        <v>264.02</v>
      </c>
      <c r="J736" s="32">
        <v>0</v>
      </c>
      <c r="K736" s="78"/>
    </row>
    <row r="737" spans="1:11" ht="90" x14ac:dyDescent="0.25">
      <c r="A737" s="2">
        <v>2</v>
      </c>
      <c r="B737" s="2" t="s">
        <v>1253</v>
      </c>
      <c r="C737" s="8" t="s">
        <v>1254</v>
      </c>
      <c r="D737" s="8" t="s">
        <v>132</v>
      </c>
      <c r="E737" s="8" t="s">
        <v>23</v>
      </c>
      <c r="F737" s="80">
        <v>5299</v>
      </c>
      <c r="G737" s="76">
        <v>0</v>
      </c>
      <c r="H737" s="81">
        <f>2674000/1000</f>
        <v>2674</v>
      </c>
      <c r="I737" s="81">
        <f>2625000/1000</f>
        <v>2625</v>
      </c>
      <c r="J737" s="32">
        <v>0</v>
      </c>
      <c r="K737" s="10" t="s">
        <v>1242</v>
      </c>
    </row>
    <row r="738" spans="1:11" ht="12.75" customHeight="1" x14ac:dyDescent="0.25">
      <c r="A738" s="194" t="s">
        <v>1247</v>
      </c>
      <c r="B738" s="186"/>
      <c r="C738" s="186"/>
      <c r="D738" s="187"/>
      <c r="E738" s="2"/>
      <c r="F738" s="77">
        <f>SUM(F737:F737)</f>
        <v>5299</v>
      </c>
      <c r="G738" s="18">
        <f>SUM(G737:G737)</f>
        <v>0</v>
      </c>
      <c r="H738" s="77">
        <f>SUM(H737:H737)</f>
        <v>2674</v>
      </c>
      <c r="I738" s="77">
        <f>SUM(I737:I737)</f>
        <v>2625</v>
      </c>
      <c r="J738" s="32">
        <v>0</v>
      </c>
      <c r="K738" s="78"/>
    </row>
    <row r="739" spans="1:11" ht="112.9" customHeight="1" x14ac:dyDescent="0.25">
      <c r="A739" s="2">
        <v>1</v>
      </c>
      <c r="B739" s="2" t="s">
        <v>1253</v>
      </c>
      <c r="C739" s="10" t="s">
        <v>1255</v>
      </c>
      <c r="D739" s="10" t="s">
        <v>515</v>
      </c>
      <c r="E739" s="2" t="s">
        <v>23</v>
      </c>
      <c r="F739" s="77">
        <f>1858244.68/1000</f>
        <v>1858.24468</v>
      </c>
      <c r="G739" s="79">
        <v>0</v>
      </c>
      <c r="H739" s="77">
        <f>1858244.68/1000</f>
        <v>1858.24468</v>
      </c>
      <c r="I739" s="79">
        <v>0</v>
      </c>
      <c r="J739" s="32">
        <v>0</v>
      </c>
      <c r="K739" s="78">
        <v>46447</v>
      </c>
    </row>
    <row r="740" spans="1:11" x14ac:dyDescent="0.25">
      <c r="A740" s="173" t="s">
        <v>20</v>
      </c>
      <c r="B740" s="173"/>
      <c r="C740" s="173"/>
      <c r="D740" s="173"/>
      <c r="E740" s="2"/>
      <c r="F740" s="77">
        <f>SUM(F739)</f>
        <v>1858.24468</v>
      </c>
      <c r="G740" s="79">
        <v>0</v>
      </c>
      <c r="H740" s="77">
        <f t="shared" ref="H740" si="65">SUM(H739)</f>
        <v>1858.24468</v>
      </c>
      <c r="I740" s="79">
        <v>0</v>
      </c>
      <c r="J740" s="32">
        <v>0</v>
      </c>
      <c r="K740" s="78"/>
    </row>
    <row r="741" spans="1:11" ht="87" customHeight="1" x14ac:dyDescent="0.25">
      <c r="A741" s="2">
        <v>1</v>
      </c>
      <c r="B741" s="2" t="s">
        <v>1253</v>
      </c>
      <c r="C741" s="10" t="s">
        <v>1256</v>
      </c>
      <c r="D741" s="10" t="s">
        <v>515</v>
      </c>
      <c r="E741" s="8" t="s">
        <v>23</v>
      </c>
      <c r="F741" s="77">
        <f>1858244.68/1000</f>
        <v>1858.24468</v>
      </c>
      <c r="G741" s="79">
        <v>0</v>
      </c>
      <c r="H741" s="79">
        <v>0</v>
      </c>
      <c r="I741" s="77">
        <f>1858244.68/1000</f>
        <v>1858.24468</v>
      </c>
      <c r="J741" s="32">
        <v>0</v>
      </c>
      <c r="K741" s="78">
        <v>46813</v>
      </c>
    </row>
    <row r="742" spans="1:11" x14ac:dyDescent="0.25">
      <c r="A742" s="173" t="s">
        <v>1252</v>
      </c>
      <c r="B742" s="173"/>
      <c r="C742" s="173"/>
      <c r="D742" s="173"/>
      <c r="E742" s="2"/>
      <c r="F742" s="77">
        <f>SUM(F741)</f>
        <v>1858.24468</v>
      </c>
      <c r="G742" s="79">
        <v>0</v>
      </c>
      <c r="H742" s="79">
        <v>0</v>
      </c>
      <c r="I742" s="77">
        <f t="shared" ref="I742" si="66">SUM(I741)</f>
        <v>1858.24468</v>
      </c>
      <c r="J742" s="32">
        <v>0</v>
      </c>
      <c r="K742" s="78"/>
    </row>
    <row r="743" spans="1:11" ht="90" x14ac:dyDescent="0.25">
      <c r="A743" s="2">
        <v>1</v>
      </c>
      <c r="B743" s="2" t="s">
        <v>1257</v>
      </c>
      <c r="C743" s="8" t="s">
        <v>1258</v>
      </c>
      <c r="D743" s="8" t="s">
        <v>132</v>
      </c>
      <c r="E743" s="8" t="s">
        <v>23</v>
      </c>
      <c r="F743" s="75">
        <v>5640.86</v>
      </c>
      <c r="G743" s="79">
        <v>0</v>
      </c>
      <c r="H743" s="77">
        <f>2802876/1000</f>
        <v>2802.8760000000002</v>
      </c>
      <c r="I743" s="77">
        <v>2837.98</v>
      </c>
      <c r="J743" s="32">
        <v>0</v>
      </c>
      <c r="K743" s="10" t="s">
        <v>1259</v>
      </c>
    </row>
    <row r="744" spans="1:11" x14ac:dyDescent="0.25">
      <c r="A744" s="173" t="s">
        <v>1247</v>
      </c>
      <c r="B744" s="173"/>
      <c r="C744" s="173"/>
      <c r="D744" s="173"/>
      <c r="E744" s="2"/>
      <c r="F744" s="77">
        <f>SUM(F743)</f>
        <v>5640.86</v>
      </c>
      <c r="G744" s="79">
        <v>0</v>
      </c>
      <c r="H744" s="77">
        <f t="shared" ref="H744:I744" si="67">SUM(H743)</f>
        <v>2802.8760000000002</v>
      </c>
      <c r="I744" s="77">
        <f t="shared" si="67"/>
        <v>2837.98</v>
      </c>
      <c r="J744" s="32">
        <v>0</v>
      </c>
      <c r="K744" s="78"/>
    </row>
    <row r="745" spans="1:11" ht="90" x14ac:dyDescent="0.25">
      <c r="A745" s="2">
        <v>2</v>
      </c>
      <c r="B745" s="2" t="s">
        <v>1260</v>
      </c>
      <c r="C745" s="8" t="s">
        <v>1261</v>
      </c>
      <c r="D745" s="8" t="s">
        <v>132</v>
      </c>
      <c r="E745" s="8" t="s">
        <v>23</v>
      </c>
      <c r="F745" s="75">
        <v>9824.64</v>
      </c>
      <c r="G745" s="76">
        <v>0</v>
      </c>
      <c r="H745" s="77">
        <v>4908.3999999999996</v>
      </c>
      <c r="I745" s="77">
        <v>4916.24</v>
      </c>
      <c r="J745" s="32">
        <v>0</v>
      </c>
      <c r="K745" s="10" t="s">
        <v>1242</v>
      </c>
    </row>
    <row r="746" spans="1:11" x14ac:dyDescent="0.25">
      <c r="A746" s="173" t="s">
        <v>1247</v>
      </c>
      <c r="B746" s="173"/>
      <c r="C746" s="173"/>
      <c r="D746" s="173"/>
      <c r="E746" s="2"/>
      <c r="F746" s="77">
        <f>SUM(F745:F745)</f>
        <v>9824.64</v>
      </c>
      <c r="G746" s="18">
        <f>SUM(G745:G745)</f>
        <v>0</v>
      </c>
      <c r="H746" s="77">
        <f>SUM(H745:H745)</f>
        <v>4908.3999999999996</v>
      </c>
      <c r="I746" s="77">
        <f>SUM(I745:I745)</f>
        <v>4916.24</v>
      </c>
      <c r="J746" s="32">
        <v>0</v>
      </c>
      <c r="K746" s="78"/>
    </row>
    <row r="747" spans="1:11" ht="36" customHeight="1" x14ac:dyDescent="0.25">
      <c r="A747" s="2">
        <v>1</v>
      </c>
      <c r="B747" s="161" t="s">
        <v>1262</v>
      </c>
      <c r="C747" s="10" t="s">
        <v>1263</v>
      </c>
      <c r="D747" s="10" t="s">
        <v>1264</v>
      </c>
      <c r="E747" s="8" t="s">
        <v>23</v>
      </c>
      <c r="F747" s="82">
        <v>2500000</v>
      </c>
      <c r="G747" s="79">
        <v>0</v>
      </c>
      <c r="H747" s="82">
        <v>2500000</v>
      </c>
      <c r="I747" s="79">
        <v>0</v>
      </c>
      <c r="J747" s="32">
        <v>0</v>
      </c>
      <c r="K747" s="78">
        <v>46357</v>
      </c>
    </row>
    <row r="748" spans="1:11" ht="44.45" customHeight="1" x14ac:dyDescent="0.25">
      <c r="A748" s="2">
        <v>2</v>
      </c>
      <c r="B748" s="163"/>
      <c r="C748" s="10" t="s">
        <v>1265</v>
      </c>
      <c r="D748" s="10" t="s">
        <v>1264</v>
      </c>
      <c r="E748" s="8" t="s">
        <v>23</v>
      </c>
      <c r="F748" s="82">
        <v>2500071.2999999998</v>
      </c>
      <c r="G748" s="79">
        <v>0</v>
      </c>
      <c r="H748" s="79">
        <v>0</v>
      </c>
      <c r="I748" s="82">
        <v>2500071.2999999998</v>
      </c>
      <c r="J748" s="32">
        <v>0</v>
      </c>
      <c r="K748" s="78">
        <v>46357</v>
      </c>
    </row>
    <row r="749" spans="1:11" x14ac:dyDescent="0.25">
      <c r="A749" s="173" t="s">
        <v>1247</v>
      </c>
      <c r="B749" s="173"/>
      <c r="C749" s="173"/>
      <c r="D749" s="173"/>
      <c r="E749" s="2"/>
      <c r="F749" s="82">
        <f>SUM(F747:F748)</f>
        <v>5000071.3</v>
      </c>
      <c r="G749" s="79">
        <f>SUM(G747:G748)</f>
        <v>0</v>
      </c>
      <c r="H749" s="82">
        <f>SUM(H747:H748)</f>
        <v>2500000</v>
      </c>
      <c r="I749" s="82">
        <f>SUM(I747:I748)</f>
        <v>2500071.2999999998</v>
      </c>
      <c r="J749" s="32">
        <v>0</v>
      </c>
      <c r="K749" s="78"/>
    </row>
    <row r="750" spans="1:11" ht="45" x14ac:dyDescent="0.25">
      <c r="A750" s="2">
        <v>1</v>
      </c>
      <c r="B750" s="161" t="s">
        <v>1266</v>
      </c>
      <c r="C750" s="8" t="s">
        <v>1267</v>
      </c>
      <c r="D750" s="8" t="s">
        <v>275</v>
      </c>
      <c r="E750" s="8" t="s">
        <v>23</v>
      </c>
      <c r="F750" s="83">
        <v>78000</v>
      </c>
      <c r="G750" s="83">
        <v>78000</v>
      </c>
      <c r="H750" s="79">
        <v>0</v>
      </c>
      <c r="I750" s="79">
        <v>0</v>
      </c>
      <c r="J750" s="32">
        <v>0</v>
      </c>
      <c r="K750" s="10" t="s">
        <v>1268</v>
      </c>
    </row>
    <row r="751" spans="1:11" ht="30" x14ac:dyDescent="0.25">
      <c r="A751" s="2">
        <v>2</v>
      </c>
      <c r="B751" s="162"/>
      <c r="C751" s="8" t="s">
        <v>1269</v>
      </c>
      <c r="D751" s="8" t="s">
        <v>1270</v>
      </c>
      <c r="E751" s="8" t="s">
        <v>23</v>
      </c>
      <c r="F751" s="83">
        <v>492661.98</v>
      </c>
      <c r="G751" s="79">
        <v>0</v>
      </c>
      <c r="H751" s="82">
        <v>492661.98</v>
      </c>
      <c r="I751" s="79">
        <v>0</v>
      </c>
      <c r="J751" s="32">
        <v>0</v>
      </c>
      <c r="K751" s="10" t="s">
        <v>1268</v>
      </c>
    </row>
    <row r="752" spans="1:11" ht="30" x14ac:dyDescent="0.25">
      <c r="A752" s="2">
        <v>3</v>
      </c>
      <c r="B752" s="162"/>
      <c r="C752" s="8" t="s">
        <v>1271</v>
      </c>
      <c r="D752" s="8" t="s">
        <v>132</v>
      </c>
      <c r="E752" s="8" t="s">
        <v>23</v>
      </c>
      <c r="F752" s="83">
        <v>9371080</v>
      </c>
      <c r="G752" s="79">
        <v>0</v>
      </c>
      <c r="H752" s="82">
        <v>4685540</v>
      </c>
      <c r="I752" s="82">
        <v>4685540</v>
      </c>
      <c r="J752" s="32">
        <v>0</v>
      </c>
      <c r="K752" s="10" t="s">
        <v>1244</v>
      </c>
    </row>
    <row r="753" spans="1:11" x14ac:dyDescent="0.25">
      <c r="A753" s="173" t="s">
        <v>1247</v>
      </c>
      <c r="B753" s="173"/>
      <c r="C753" s="173"/>
      <c r="D753" s="173"/>
      <c r="E753" s="2"/>
      <c r="F753" s="82">
        <f>SUM(F750:F752)</f>
        <v>9941741.9800000004</v>
      </c>
      <c r="G753" s="82">
        <f>SUM(G750:G752)</f>
        <v>78000</v>
      </c>
      <c r="H753" s="82">
        <f>SUM(H750:H752)</f>
        <v>5178201.9800000004</v>
      </c>
      <c r="I753" s="82">
        <f>SUM(I750:I752)</f>
        <v>4685540</v>
      </c>
      <c r="J753" s="32">
        <v>0</v>
      </c>
      <c r="K753" s="78"/>
    </row>
    <row r="754" spans="1:11" ht="43.9" customHeight="1" x14ac:dyDescent="0.25">
      <c r="A754" s="2">
        <v>1</v>
      </c>
      <c r="B754" s="161" t="s">
        <v>1266</v>
      </c>
      <c r="C754" s="10" t="s">
        <v>1272</v>
      </c>
      <c r="D754" s="10" t="s">
        <v>275</v>
      </c>
      <c r="E754" s="2" t="s">
        <v>23</v>
      </c>
      <c r="F754" s="82">
        <v>78000</v>
      </c>
      <c r="G754" s="18">
        <v>0</v>
      </c>
      <c r="H754" s="82">
        <v>78000</v>
      </c>
      <c r="I754" s="79">
        <v>0</v>
      </c>
      <c r="J754" s="32">
        <v>0</v>
      </c>
      <c r="K754" s="78">
        <v>46661</v>
      </c>
    </row>
    <row r="755" spans="1:11" ht="30" customHeight="1" x14ac:dyDescent="0.25">
      <c r="A755" s="2">
        <v>2</v>
      </c>
      <c r="B755" s="162"/>
      <c r="C755" s="10" t="s">
        <v>1273</v>
      </c>
      <c r="D755" s="10" t="s">
        <v>1270</v>
      </c>
      <c r="E755" s="2" t="s">
        <v>23</v>
      </c>
      <c r="F755" s="82">
        <v>508505.97</v>
      </c>
      <c r="G755" s="18">
        <v>0</v>
      </c>
      <c r="H755" s="79">
        <v>0</v>
      </c>
      <c r="I755" s="82">
        <v>508505.97</v>
      </c>
      <c r="J755" s="32">
        <v>0</v>
      </c>
      <c r="K755" s="78">
        <v>46661</v>
      </c>
    </row>
    <row r="756" spans="1:11" ht="15.6" customHeight="1" x14ac:dyDescent="0.25">
      <c r="A756" s="2">
        <v>3</v>
      </c>
      <c r="B756" s="163"/>
      <c r="C756" s="10" t="s">
        <v>1274</v>
      </c>
      <c r="D756" s="10" t="s">
        <v>449</v>
      </c>
      <c r="E756" s="2" t="s">
        <v>23</v>
      </c>
      <c r="F756" s="82">
        <v>372600</v>
      </c>
      <c r="G756" s="18">
        <v>0</v>
      </c>
      <c r="H756" s="82">
        <v>372600</v>
      </c>
      <c r="I756" s="18">
        <v>0</v>
      </c>
      <c r="J756" s="32">
        <v>0</v>
      </c>
      <c r="K756" s="78">
        <v>46447</v>
      </c>
    </row>
    <row r="757" spans="1:11" ht="13.15" customHeight="1" x14ac:dyDescent="0.25">
      <c r="A757" s="173" t="s">
        <v>20</v>
      </c>
      <c r="B757" s="173"/>
      <c r="C757" s="173"/>
      <c r="D757" s="173"/>
      <c r="E757" s="2"/>
      <c r="F757" s="82">
        <f>SUM(F754:F756)</f>
        <v>959105.97</v>
      </c>
      <c r="G757" s="82">
        <f t="shared" ref="G757:H757" si="68">SUM(G754:G756)</f>
        <v>0</v>
      </c>
      <c r="H757" s="82">
        <f t="shared" si="68"/>
        <v>450600</v>
      </c>
      <c r="I757" s="82">
        <f t="shared" ref="I757" si="69">SUM(I754:I756)</f>
        <v>508505.97</v>
      </c>
      <c r="J757" s="32">
        <v>0</v>
      </c>
      <c r="K757" s="78"/>
    </row>
    <row r="758" spans="1:11" ht="54.6" customHeight="1" x14ac:dyDescent="0.25">
      <c r="A758" s="2">
        <v>1</v>
      </c>
      <c r="B758" s="161" t="s">
        <v>1266</v>
      </c>
      <c r="C758" s="10" t="s">
        <v>1275</v>
      </c>
      <c r="D758" s="10" t="s">
        <v>275</v>
      </c>
      <c r="E758" s="2" t="s">
        <v>23</v>
      </c>
      <c r="F758" s="82">
        <v>78000</v>
      </c>
      <c r="G758" s="79">
        <v>0</v>
      </c>
      <c r="H758" s="79">
        <v>0</v>
      </c>
      <c r="I758" s="82">
        <v>78000</v>
      </c>
      <c r="J758" s="32">
        <v>0</v>
      </c>
      <c r="K758" s="78">
        <v>47027</v>
      </c>
    </row>
    <row r="759" spans="1:11" ht="31.9" customHeight="1" x14ac:dyDescent="0.25">
      <c r="A759" s="2">
        <v>2</v>
      </c>
      <c r="B759" s="163"/>
      <c r="C759" s="10" t="s">
        <v>1276</v>
      </c>
      <c r="D759" s="10" t="s">
        <v>449</v>
      </c>
      <c r="E759" s="2" t="s">
        <v>23</v>
      </c>
      <c r="F759" s="82">
        <v>372600</v>
      </c>
      <c r="G759" s="79">
        <v>0</v>
      </c>
      <c r="H759" s="79">
        <v>0</v>
      </c>
      <c r="I759" s="82">
        <v>372600</v>
      </c>
      <c r="J759" s="32">
        <v>0</v>
      </c>
      <c r="K759" s="78">
        <v>46813</v>
      </c>
    </row>
    <row r="760" spans="1:11" ht="15" customHeight="1" x14ac:dyDescent="0.25">
      <c r="A760" s="173" t="s">
        <v>1252</v>
      </c>
      <c r="B760" s="173"/>
      <c r="C760" s="173"/>
      <c r="D760" s="173"/>
      <c r="E760" s="2"/>
      <c r="F760" s="82">
        <f>SUM(F758:F759)</f>
        <v>450600</v>
      </c>
      <c r="G760" s="79">
        <f t="shared" ref="G760:H760" si="70">SUM(G758:G759)</f>
        <v>0</v>
      </c>
      <c r="H760" s="79">
        <f t="shared" si="70"/>
        <v>0</v>
      </c>
      <c r="I760" s="82">
        <f>SUM(I758:I759)</f>
        <v>450600</v>
      </c>
      <c r="J760" s="32">
        <v>0</v>
      </c>
      <c r="K760" s="78"/>
    </row>
    <row r="761" spans="1:11" ht="105.6" customHeight="1" x14ac:dyDescent="0.25">
      <c r="A761" s="2">
        <v>1</v>
      </c>
      <c r="B761" s="2" t="s">
        <v>1277</v>
      </c>
      <c r="C761" s="8" t="s">
        <v>1278</v>
      </c>
      <c r="D761" s="8" t="s">
        <v>266</v>
      </c>
      <c r="E761" s="8" t="s">
        <v>23</v>
      </c>
      <c r="F761" s="83">
        <v>286733.64</v>
      </c>
      <c r="G761" s="83">
        <v>286733.64</v>
      </c>
      <c r="H761" s="79">
        <v>0</v>
      </c>
      <c r="I761" s="79">
        <v>0</v>
      </c>
      <c r="J761" s="32">
        <v>0</v>
      </c>
      <c r="K761" s="10" t="s">
        <v>1279</v>
      </c>
    </row>
    <row r="762" spans="1:11" x14ac:dyDescent="0.25">
      <c r="A762" s="173" t="s">
        <v>1247</v>
      </c>
      <c r="B762" s="173"/>
      <c r="C762" s="173"/>
      <c r="D762" s="173"/>
      <c r="E762" s="2"/>
      <c r="F762" s="82">
        <f>SUM(F761:F761)</f>
        <v>286733.64</v>
      </c>
      <c r="G762" s="82">
        <f>SUM(G761:G761)</f>
        <v>286733.64</v>
      </c>
      <c r="H762" s="79">
        <f>SUM(H761:H761)</f>
        <v>0</v>
      </c>
      <c r="I762" s="79">
        <f>SUM(I761:I761)</f>
        <v>0</v>
      </c>
      <c r="J762" s="32">
        <v>0</v>
      </c>
      <c r="K762" s="10"/>
    </row>
    <row r="763" spans="1:11" ht="49.9" customHeight="1" x14ac:dyDescent="0.25">
      <c r="A763" s="2">
        <v>1</v>
      </c>
      <c r="B763" s="161" t="s">
        <v>1277</v>
      </c>
      <c r="C763" s="10" t="s">
        <v>1280</v>
      </c>
      <c r="D763" s="10" t="s">
        <v>275</v>
      </c>
      <c r="E763" s="8" t="s">
        <v>23</v>
      </c>
      <c r="F763" s="82">
        <v>45000</v>
      </c>
      <c r="G763" s="79">
        <v>0</v>
      </c>
      <c r="H763" s="82">
        <v>45000</v>
      </c>
      <c r="I763" s="79">
        <v>0</v>
      </c>
      <c r="J763" s="32">
        <v>0</v>
      </c>
      <c r="K763" s="10" t="s">
        <v>1281</v>
      </c>
    </row>
    <row r="764" spans="1:11" ht="51.6" customHeight="1" x14ac:dyDescent="0.25">
      <c r="A764" s="2">
        <v>2</v>
      </c>
      <c r="B764" s="163"/>
      <c r="C764" s="10" t="s">
        <v>1282</v>
      </c>
      <c r="D764" s="10" t="s">
        <v>266</v>
      </c>
      <c r="E764" s="8" t="s">
        <v>23</v>
      </c>
      <c r="F764" s="82">
        <v>258683.61</v>
      </c>
      <c r="G764" s="79">
        <v>0</v>
      </c>
      <c r="H764" s="79">
        <v>0</v>
      </c>
      <c r="I764" s="82">
        <v>258683.61</v>
      </c>
      <c r="J764" s="32">
        <v>0</v>
      </c>
      <c r="K764" s="10" t="s">
        <v>1283</v>
      </c>
    </row>
    <row r="765" spans="1:11" x14ac:dyDescent="0.25">
      <c r="A765" s="173" t="s">
        <v>20</v>
      </c>
      <c r="B765" s="173"/>
      <c r="C765" s="173"/>
      <c r="D765" s="173"/>
      <c r="E765" s="2"/>
      <c r="F765" s="82">
        <f>SUM(F763:F764)</f>
        <v>303683.61</v>
      </c>
      <c r="G765" s="79">
        <f t="shared" ref="G765:I765" si="71">SUM(G763:G764)</f>
        <v>0</v>
      </c>
      <c r="H765" s="82">
        <f t="shared" si="71"/>
        <v>45000</v>
      </c>
      <c r="I765" s="82">
        <f t="shared" si="71"/>
        <v>258683.61</v>
      </c>
      <c r="J765" s="32">
        <v>0</v>
      </c>
      <c r="K765" s="10"/>
    </row>
    <row r="766" spans="1:11" ht="102.6" customHeight="1" x14ac:dyDescent="0.25">
      <c r="A766" s="2">
        <v>1</v>
      </c>
      <c r="B766" s="2" t="s">
        <v>1277</v>
      </c>
      <c r="C766" s="10" t="s">
        <v>1284</v>
      </c>
      <c r="D766" s="10" t="s">
        <v>275</v>
      </c>
      <c r="E766" s="8" t="s">
        <v>23</v>
      </c>
      <c r="F766" s="82">
        <v>45000</v>
      </c>
      <c r="G766" s="79">
        <v>0</v>
      </c>
      <c r="H766" s="79">
        <v>0</v>
      </c>
      <c r="I766" s="82">
        <v>45000</v>
      </c>
      <c r="J766" s="32">
        <v>0</v>
      </c>
      <c r="K766" s="10" t="s">
        <v>1285</v>
      </c>
    </row>
    <row r="767" spans="1:11" x14ac:dyDescent="0.25">
      <c r="A767" s="173" t="s">
        <v>1252</v>
      </c>
      <c r="B767" s="173"/>
      <c r="C767" s="173"/>
      <c r="D767" s="173"/>
      <c r="E767" s="2"/>
      <c r="F767" s="82">
        <f>SUM(F766)</f>
        <v>45000</v>
      </c>
      <c r="G767" s="79">
        <f t="shared" ref="G767:I767" si="72">SUM(G766)</f>
        <v>0</v>
      </c>
      <c r="H767" s="79">
        <f t="shared" si="72"/>
        <v>0</v>
      </c>
      <c r="I767" s="82">
        <f t="shared" si="72"/>
        <v>45000</v>
      </c>
      <c r="J767" s="32">
        <v>0</v>
      </c>
      <c r="K767" s="10"/>
    </row>
    <row r="768" spans="1:11" ht="43.9" customHeight="1" x14ac:dyDescent="0.25">
      <c r="A768" s="2">
        <v>1</v>
      </c>
      <c r="B768" s="161" t="s">
        <v>1286</v>
      </c>
      <c r="C768" s="10" t="s">
        <v>1287</v>
      </c>
      <c r="D768" s="10" t="s">
        <v>1288</v>
      </c>
      <c r="E768" s="2" t="s">
        <v>23</v>
      </c>
      <c r="F768" s="83">
        <v>5670000</v>
      </c>
      <c r="G768" s="82">
        <v>5670000</v>
      </c>
      <c r="H768" s="79">
        <v>0</v>
      </c>
      <c r="I768" s="79">
        <v>0</v>
      </c>
      <c r="J768" s="32">
        <v>0</v>
      </c>
      <c r="K768" s="78">
        <v>46204</v>
      </c>
    </row>
    <row r="769" spans="1:11" ht="43.9" customHeight="1" x14ac:dyDescent="0.25">
      <c r="A769" s="2">
        <v>2</v>
      </c>
      <c r="B769" s="163"/>
      <c r="C769" s="10" t="s">
        <v>1289</v>
      </c>
      <c r="D769" s="10" t="s">
        <v>132</v>
      </c>
      <c r="E769" s="8" t="s">
        <v>23</v>
      </c>
      <c r="F769" s="83">
        <v>12000000</v>
      </c>
      <c r="G769" s="76">
        <v>0</v>
      </c>
      <c r="H769" s="83">
        <v>12000000</v>
      </c>
      <c r="I769" s="79">
        <v>0</v>
      </c>
      <c r="J769" s="32">
        <v>0</v>
      </c>
      <c r="K769" s="78">
        <v>46357</v>
      </c>
    </row>
    <row r="770" spans="1:11" x14ac:dyDescent="0.25">
      <c r="A770" s="173" t="s">
        <v>1247</v>
      </c>
      <c r="B770" s="173"/>
      <c r="C770" s="173"/>
      <c r="D770" s="173"/>
      <c r="E770" s="2"/>
      <c r="F770" s="82">
        <f>SUM(F768:F769)</f>
        <v>17670000</v>
      </c>
      <c r="G770" s="82">
        <f t="shared" ref="G770:I770" si="73">SUM(G768:G769)</f>
        <v>5670000</v>
      </c>
      <c r="H770" s="82">
        <f t="shared" si="73"/>
        <v>12000000</v>
      </c>
      <c r="I770" s="79">
        <f t="shared" si="73"/>
        <v>0</v>
      </c>
      <c r="J770" s="32">
        <v>0</v>
      </c>
      <c r="K770" s="78"/>
    </row>
    <row r="771" spans="1:11" ht="90" x14ac:dyDescent="0.25">
      <c r="A771" s="2">
        <v>1</v>
      </c>
      <c r="B771" s="2" t="s">
        <v>1286</v>
      </c>
      <c r="C771" s="10" t="s">
        <v>1290</v>
      </c>
      <c r="D771" s="10" t="s">
        <v>1291</v>
      </c>
      <c r="E771" s="8" t="s">
        <v>23</v>
      </c>
      <c r="F771" s="83">
        <v>4500000</v>
      </c>
      <c r="G771" s="79">
        <v>0</v>
      </c>
      <c r="H771" s="79">
        <v>0</v>
      </c>
      <c r="I771" s="83">
        <v>4500000</v>
      </c>
      <c r="J771" s="32">
        <v>0</v>
      </c>
      <c r="K771" s="78">
        <v>46813</v>
      </c>
    </row>
    <row r="772" spans="1:11" x14ac:dyDescent="0.25">
      <c r="A772" s="173" t="s">
        <v>1252</v>
      </c>
      <c r="B772" s="173"/>
      <c r="C772" s="173"/>
      <c r="D772" s="173"/>
      <c r="E772" s="2"/>
      <c r="F772" s="82">
        <f>SUM(F771)</f>
        <v>4500000</v>
      </c>
      <c r="G772" s="79">
        <f t="shared" ref="G772:I772" si="74">SUM(G771)</f>
        <v>0</v>
      </c>
      <c r="H772" s="79">
        <f t="shared" si="74"/>
        <v>0</v>
      </c>
      <c r="I772" s="82">
        <f t="shared" si="74"/>
        <v>4500000</v>
      </c>
      <c r="J772" s="32">
        <v>0</v>
      </c>
      <c r="K772" s="78"/>
    </row>
    <row r="773" spans="1:11" ht="35.450000000000003" customHeight="1" x14ac:dyDescent="0.25">
      <c r="A773" s="2">
        <v>1</v>
      </c>
      <c r="B773" s="161" t="s">
        <v>1292</v>
      </c>
      <c r="C773" s="8" t="s">
        <v>1294</v>
      </c>
      <c r="D773" s="8" t="s">
        <v>132</v>
      </c>
      <c r="E773" s="8" t="s">
        <v>23</v>
      </c>
      <c r="F773" s="75">
        <f>G773+H773+I773</f>
        <v>11212.8</v>
      </c>
      <c r="G773" s="16">
        <v>0</v>
      </c>
      <c r="H773" s="77">
        <v>5594.24</v>
      </c>
      <c r="I773" s="77">
        <v>5618.56</v>
      </c>
      <c r="J773" s="32">
        <v>0</v>
      </c>
      <c r="K773" s="10" t="s">
        <v>1293</v>
      </c>
    </row>
    <row r="774" spans="1:11" ht="35.450000000000003" customHeight="1" x14ac:dyDescent="0.25">
      <c r="A774" s="2">
        <v>2</v>
      </c>
      <c r="B774" s="162"/>
      <c r="C774" s="8" t="s">
        <v>1295</v>
      </c>
      <c r="D774" s="8" t="s">
        <v>1296</v>
      </c>
      <c r="E774" s="8" t="s">
        <v>23</v>
      </c>
      <c r="F774" s="75">
        <v>69.760000000000005</v>
      </c>
      <c r="G774" s="16">
        <v>0</v>
      </c>
      <c r="H774" s="75">
        <v>69.760000000000005</v>
      </c>
      <c r="I774" s="76">
        <v>0</v>
      </c>
      <c r="J774" s="32">
        <v>0</v>
      </c>
      <c r="K774" s="10" t="s">
        <v>1297</v>
      </c>
    </row>
    <row r="775" spans="1:11" ht="39.6" customHeight="1" x14ac:dyDescent="0.25">
      <c r="A775" s="2">
        <v>3</v>
      </c>
      <c r="B775" s="163"/>
      <c r="C775" s="8" t="s">
        <v>1298</v>
      </c>
      <c r="D775" s="8" t="s">
        <v>1299</v>
      </c>
      <c r="E775" s="8" t="s">
        <v>36</v>
      </c>
      <c r="F775" s="75">
        <v>244.8</v>
      </c>
      <c r="G775" s="16">
        <v>0</v>
      </c>
      <c r="H775" s="77">
        <v>122.4</v>
      </c>
      <c r="I775" s="77">
        <v>122.4</v>
      </c>
      <c r="J775" s="32">
        <v>0</v>
      </c>
      <c r="K775" s="10" t="s">
        <v>1293</v>
      </c>
    </row>
    <row r="776" spans="1:11" x14ac:dyDescent="0.25">
      <c r="A776" s="173" t="s">
        <v>1247</v>
      </c>
      <c r="B776" s="173"/>
      <c r="C776" s="173"/>
      <c r="D776" s="173"/>
      <c r="E776" s="2"/>
      <c r="F776" s="15">
        <f>SUM(F773:F775)</f>
        <v>11527.359999999999</v>
      </c>
      <c r="G776" s="16">
        <f>SUM(G773:G775)</f>
        <v>0</v>
      </c>
      <c r="H776" s="15">
        <f>SUM(H773:H775)</f>
        <v>5786.4</v>
      </c>
      <c r="I776" s="15">
        <f>SUM(I773:I775)</f>
        <v>5740.96</v>
      </c>
      <c r="J776" s="32">
        <v>0</v>
      </c>
      <c r="K776" s="84"/>
    </row>
    <row r="777" spans="1:11" ht="118.15" customHeight="1" x14ac:dyDescent="0.25">
      <c r="A777" s="2">
        <v>1</v>
      </c>
      <c r="B777" s="2" t="s">
        <v>1292</v>
      </c>
      <c r="C777" s="10" t="s">
        <v>1300</v>
      </c>
      <c r="D777" s="8" t="s">
        <v>1296</v>
      </c>
      <c r="E777" s="8" t="s">
        <v>23</v>
      </c>
      <c r="F777" s="75">
        <v>69.760000000000005</v>
      </c>
      <c r="G777" s="16">
        <v>0</v>
      </c>
      <c r="H777" s="75">
        <v>69.760000000000005</v>
      </c>
      <c r="I777" s="79">
        <v>0</v>
      </c>
      <c r="J777" s="32">
        <v>0</v>
      </c>
      <c r="K777" s="10" t="s">
        <v>1301</v>
      </c>
    </row>
    <row r="778" spans="1:11" ht="19.899999999999999" customHeight="1" x14ac:dyDescent="0.25">
      <c r="A778" s="173" t="s">
        <v>1252</v>
      </c>
      <c r="B778" s="173"/>
      <c r="C778" s="173"/>
      <c r="D778" s="173"/>
      <c r="E778" s="2"/>
      <c r="F778" s="15">
        <v>69.760000000000005</v>
      </c>
      <c r="G778" s="16">
        <v>0</v>
      </c>
      <c r="H778" s="15">
        <v>69.760000000000005</v>
      </c>
      <c r="I778" s="79">
        <v>0</v>
      </c>
      <c r="J778" s="32">
        <v>0</v>
      </c>
      <c r="K778" s="84"/>
    </row>
    <row r="779" spans="1:11" ht="34.15" customHeight="1" x14ac:dyDescent="0.25">
      <c r="A779" s="2">
        <v>1</v>
      </c>
      <c r="B779" s="161" t="s">
        <v>1302</v>
      </c>
      <c r="C779" s="8" t="s">
        <v>1303</v>
      </c>
      <c r="D779" s="8" t="s">
        <v>132</v>
      </c>
      <c r="E779" s="8" t="s">
        <v>23</v>
      </c>
      <c r="F779" s="75">
        <v>17544</v>
      </c>
      <c r="G779" s="75">
        <v>5</v>
      </c>
      <c r="H779" s="77">
        <v>8760</v>
      </c>
      <c r="I779" s="77">
        <v>8779</v>
      </c>
      <c r="J779" s="32">
        <v>0</v>
      </c>
      <c r="K779" s="10" t="s">
        <v>1244</v>
      </c>
    </row>
    <row r="780" spans="1:11" ht="34.15" customHeight="1" x14ac:dyDescent="0.25">
      <c r="A780" s="2">
        <v>2</v>
      </c>
      <c r="B780" s="163"/>
      <c r="C780" s="8" t="s">
        <v>1304</v>
      </c>
      <c r="D780" s="8" t="s">
        <v>132</v>
      </c>
      <c r="E780" s="8" t="s">
        <v>23</v>
      </c>
      <c r="F780" s="75">
        <v>8772</v>
      </c>
      <c r="G780" s="75">
        <v>2.5</v>
      </c>
      <c r="H780" s="77">
        <v>4380</v>
      </c>
      <c r="I780" s="77">
        <v>4389.5</v>
      </c>
      <c r="J780" s="32">
        <v>0</v>
      </c>
      <c r="K780" s="10" t="s">
        <v>1305</v>
      </c>
    </row>
    <row r="781" spans="1:11" x14ac:dyDescent="0.25">
      <c r="A781" s="173" t="s">
        <v>1247</v>
      </c>
      <c r="B781" s="173"/>
      <c r="C781" s="173"/>
      <c r="D781" s="173"/>
      <c r="E781" s="2"/>
      <c r="F781" s="17">
        <f>SUM(F779:F780)</f>
        <v>26316</v>
      </c>
      <c r="G781" s="17">
        <f>G779+G780</f>
        <v>7.5</v>
      </c>
      <c r="H781" s="17">
        <f>SUM(H779+H780)</f>
        <v>13140</v>
      </c>
      <c r="I781" s="85">
        <f>SUM(I779:I780)</f>
        <v>13168.5</v>
      </c>
      <c r="J781" s="32">
        <v>0</v>
      </c>
      <c r="K781" s="78"/>
    </row>
    <row r="782" spans="1:11" ht="43.9" customHeight="1" x14ac:dyDescent="0.25">
      <c r="A782" s="2">
        <v>1</v>
      </c>
      <c r="B782" s="161" t="s">
        <v>1306</v>
      </c>
      <c r="C782" s="8" t="s">
        <v>1307</v>
      </c>
      <c r="D782" s="2" t="s">
        <v>1308</v>
      </c>
      <c r="E782" s="8" t="s">
        <v>23</v>
      </c>
      <c r="F782" s="75">
        <v>7591.27</v>
      </c>
      <c r="G782" s="16">
        <v>0</v>
      </c>
      <c r="H782" s="77">
        <v>3795.63</v>
      </c>
      <c r="I782" s="77">
        <v>3795.64</v>
      </c>
      <c r="J782" s="32">
        <v>0</v>
      </c>
      <c r="K782" s="10" t="s">
        <v>1279</v>
      </c>
    </row>
    <row r="783" spans="1:11" ht="43.9" customHeight="1" x14ac:dyDescent="0.25">
      <c r="A783" s="2">
        <v>2</v>
      </c>
      <c r="B783" s="163"/>
      <c r="C783" s="8" t="s">
        <v>1309</v>
      </c>
      <c r="D783" s="8" t="s">
        <v>449</v>
      </c>
      <c r="E783" s="8" t="s">
        <v>23</v>
      </c>
      <c r="F783" s="75">
        <v>175.5</v>
      </c>
      <c r="G783" s="75">
        <v>175.5</v>
      </c>
      <c r="H783" s="79">
        <v>0</v>
      </c>
      <c r="I783" s="79">
        <v>0</v>
      </c>
      <c r="J783" s="32">
        <v>0</v>
      </c>
      <c r="K783" s="10" t="s">
        <v>1242</v>
      </c>
    </row>
    <row r="784" spans="1:11" x14ac:dyDescent="0.25">
      <c r="A784" s="173" t="s">
        <v>1247</v>
      </c>
      <c r="B784" s="173"/>
      <c r="C784" s="173"/>
      <c r="D784" s="173"/>
      <c r="E784" s="2"/>
      <c r="F784" s="17">
        <f>SUM(F782:F783)</f>
        <v>7766.77</v>
      </c>
      <c r="G784" s="17">
        <f>SUM(G782:G783)</f>
        <v>175.5</v>
      </c>
      <c r="H784" s="17">
        <f>SUM(H782:H783)</f>
        <v>3795.63</v>
      </c>
      <c r="I784" s="17">
        <f>SUM(I782:I783)</f>
        <v>3795.64</v>
      </c>
      <c r="J784" s="32">
        <v>0</v>
      </c>
      <c r="K784" s="78"/>
    </row>
    <row r="785" spans="1:11" ht="42.6" customHeight="1" x14ac:dyDescent="0.25">
      <c r="A785" s="2">
        <v>1</v>
      </c>
      <c r="B785" s="161" t="s">
        <v>1310</v>
      </c>
      <c r="C785" s="8" t="s">
        <v>1311</v>
      </c>
      <c r="D785" s="8" t="s">
        <v>1270</v>
      </c>
      <c r="E785" s="8" t="s">
        <v>23</v>
      </c>
      <c r="F785" s="83">
        <v>740591</v>
      </c>
      <c r="G785" s="76">
        <v>0</v>
      </c>
      <c r="H785" s="82">
        <v>740591</v>
      </c>
      <c r="I785" s="79">
        <v>0</v>
      </c>
      <c r="J785" s="32">
        <v>0</v>
      </c>
      <c r="K785" s="10" t="s">
        <v>1244</v>
      </c>
    </row>
    <row r="786" spans="1:11" ht="28.15" customHeight="1" x14ac:dyDescent="0.25">
      <c r="A786" s="2">
        <v>2</v>
      </c>
      <c r="B786" s="162"/>
      <c r="C786" s="8" t="s">
        <v>1312</v>
      </c>
      <c r="D786" s="8" t="s">
        <v>449</v>
      </c>
      <c r="E786" s="8" t="s">
        <v>23</v>
      </c>
      <c r="F786" s="83">
        <v>166400</v>
      </c>
      <c r="G786" s="83">
        <v>166400</v>
      </c>
      <c r="H786" s="79">
        <v>0</v>
      </c>
      <c r="I786" s="79">
        <v>0</v>
      </c>
      <c r="J786" s="32">
        <v>0</v>
      </c>
      <c r="K786" s="10" t="s">
        <v>1242</v>
      </c>
    </row>
    <row r="787" spans="1:11" ht="42.6" customHeight="1" x14ac:dyDescent="0.25">
      <c r="A787" s="2">
        <v>3</v>
      </c>
      <c r="B787" s="163"/>
      <c r="C787" s="8" t="s">
        <v>1313</v>
      </c>
      <c r="D787" s="8" t="s">
        <v>275</v>
      </c>
      <c r="E787" s="8" t="s">
        <v>23</v>
      </c>
      <c r="F787" s="83">
        <v>58471</v>
      </c>
      <c r="G787" s="76">
        <v>0</v>
      </c>
      <c r="H787" s="83">
        <v>58471</v>
      </c>
      <c r="I787" s="79">
        <v>0</v>
      </c>
      <c r="J787" s="32">
        <v>0</v>
      </c>
      <c r="K787" s="10" t="s">
        <v>1268</v>
      </c>
    </row>
    <row r="788" spans="1:11" x14ac:dyDescent="0.25">
      <c r="A788" s="173" t="s">
        <v>1247</v>
      </c>
      <c r="B788" s="173"/>
      <c r="C788" s="173"/>
      <c r="D788" s="173"/>
      <c r="E788" s="2"/>
      <c r="F788" s="82">
        <f>SUM(F785:F787)</f>
        <v>965462</v>
      </c>
      <c r="G788" s="82">
        <f>G785+G786+G787+G789</f>
        <v>166400</v>
      </c>
      <c r="H788" s="82">
        <f>H785+H786+H787+H789</f>
        <v>799062</v>
      </c>
      <c r="I788" s="79">
        <v>0</v>
      </c>
      <c r="J788" s="32">
        <v>0</v>
      </c>
      <c r="K788" s="78"/>
    </row>
    <row r="789" spans="1:11" ht="120" x14ac:dyDescent="0.25">
      <c r="A789" s="2">
        <v>1</v>
      </c>
      <c r="B789" s="2" t="s">
        <v>1310</v>
      </c>
      <c r="C789" s="8" t="s">
        <v>1314</v>
      </c>
      <c r="D789" s="8" t="s">
        <v>449</v>
      </c>
      <c r="E789" s="8" t="s">
        <v>23</v>
      </c>
      <c r="F789" s="83">
        <v>166400</v>
      </c>
      <c r="G789" s="76">
        <v>0</v>
      </c>
      <c r="H789" s="79">
        <v>0</v>
      </c>
      <c r="I789" s="83">
        <v>166400</v>
      </c>
      <c r="J789" s="32">
        <v>0</v>
      </c>
      <c r="K789" s="10" t="s">
        <v>1249</v>
      </c>
    </row>
    <row r="790" spans="1:11" x14ac:dyDescent="0.25">
      <c r="A790" s="173" t="s">
        <v>20</v>
      </c>
      <c r="B790" s="173"/>
      <c r="C790" s="173"/>
      <c r="D790" s="173"/>
      <c r="E790" s="2"/>
      <c r="F790" s="82">
        <f>SUM(F789)</f>
        <v>166400</v>
      </c>
      <c r="G790" s="79">
        <f t="shared" ref="G790:I790" si="75">SUM(G789)</f>
        <v>0</v>
      </c>
      <c r="H790" s="79">
        <f t="shared" si="75"/>
        <v>0</v>
      </c>
      <c r="I790" s="82">
        <f t="shared" si="75"/>
        <v>166400</v>
      </c>
      <c r="J790" s="32">
        <v>0</v>
      </c>
      <c r="K790" s="78"/>
    </row>
    <row r="791" spans="1:11" ht="90" x14ac:dyDescent="0.25">
      <c r="A791" s="2">
        <v>1</v>
      </c>
      <c r="B791" s="2" t="s">
        <v>1315</v>
      </c>
      <c r="C791" s="8" t="s">
        <v>1316</v>
      </c>
      <c r="D791" s="8" t="s">
        <v>132</v>
      </c>
      <c r="E791" s="8" t="s">
        <v>23</v>
      </c>
      <c r="F791" s="76">
        <v>4900</v>
      </c>
      <c r="G791" s="76">
        <v>0</v>
      </c>
      <c r="H791" s="83">
        <v>4900000</v>
      </c>
      <c r="I791" s="79">
        <v>0</v>
      </c>
      <c r="J791" s="32">
        <v>0</v>
      </c>
      <c r="K791" s="10" t="s">
        <v>1259</v>
      </c>
    </row>
    <row r="792" spans="1:11" x14ac:dyDescent="0.25">
      <c r="A792" s="173" t="s">
        <v>1247</v>
      </c>
      <c r="B792" s="173"/>
      <c r="C792" s="173"/>
      <c r="D792" s="173"/>
      <c r="E792" s="2"/>
      <c r="F792" s="79">
        <f>SUM(F791:F791)</f>
        <v>4900</v>
      </c>
      <c r="G792" s="79">
        <f>SUM(G791:G791)</f>
        <v>0</v>
      </c>
      <c r="H792" s="82">
        <f>SUM(H791:H791)</f>
        <v>4900000</v>
      </c>
      <c r="I792" s="79">
        <f>SUM(I791:I791)</f>
        <v>0</v>
      </c>
      <c r="J792" s="32">
        <v>0</v>
      </c>
      <c r="K792" s="78"/>
    </row>
    <row r="793" spans="1:11" ht="39.6" customHeight="1" x14ac:dyDescent="0.25">
      <c r="A793" s="2">
        <v>1</v>
      </c>
      <c r="B793" s="161" t="s">
        <v>1317</v>
      </c>
      <c r="C793" s="8" t="s">
        <v>1318</v>
      </c>
      <c r="D793" s="8" t="s">
        <v>1270</v>
      </c>
      <c r="E793" s="8" t="s">
        <v>23</v>
      </c>
      <c r="F793" s="75">
        <v>783.18714999999997</v>
      </c>
      <c r="G793" s="16">
        <v>0</v>
      </c>
      <c r="H793" s="75">
        <v>783.18714999999997</v>
      </c>
      <c r="I793" s="79">
        <v>0</v>
      </c>
      <c r="J793" s="32">
        <v>0</v>
      </c>
      <c r="K793" s="10" t="s">
        <v>1244</v>
      </c>
    </row>
    <row r="794" spans="1:11" ht="39.6" customHeight="1" x14ac:dyDescent="0.25">
      <c r="A794" s="2">
        <v>2</v>
      </c>
      <c r="B794" s="163"/>
      <c r="C794" s="8" t="s">
        <v>1319</v>
      </c>
      <c r="D794" s="8" t="s">
        <v>132</v>
      </c>
      <c r="E794" s="8" t="s">
        <v>23</v>
      </c>
      <c r="F794" s="75">
        <v>5472</v>
      </c>
      <c r="G794" s="16">
        <v>0</v>
      </c>
      <c r="H794" s="77">
        <v>3024</v>
      </c>
      <c r="I794" s="77">
        <v>2448</v>
      </c>
      <c r="J794" s="32">
        <v>0</v>
      </c>
      <c r="K794" s="10" t="s">
        <v>1244</v>
      </c>
    </row>
    <row r="795" spans="1:11" x14ac:dyDescent="0.25">
      <c r="A795" s="173" t="s">
        <v>1247</v>
      </c>
      <c r="B795" s="173"/>
      <c r="C795" s="173"/>
      <c r="D795" s="173"/>
      <c r="E795" s="2"/>
      <c r="F795" s="86">
        <f>F793+F794</f>
        <v>6255.1871499999997</v>
      </c>
      <c r="G795" s="18">
        <f>SUM(G793:G794)</f>
        <v>0</v>
      </c>
      <c r="H795" s="86">
        <f>SUM(H793:H794)</f>
        <v>3807.1871499999997</v>
      </c>
      <c r="I795" s="86">
        <f>SUM(I793:I794)</f>
        <v>2448</v>
      </c>
      <c r="J795" s="32">
        <v>0</v>
      </c>
      <c r="K795" s="78"/>
    </row>
    <row r="796" spans="1:11" ht="31.15" customHeight="1" x14ac:dyDescent="0.25">
      <c r="A796" s="2">
        <v>1</v>
      </c>
      <c r="B796" s="161" t="s">
        <v>1317</v>
      </c>
      <c r="C796" s="8" t="s">
        <v>1320</v>
      </c>
      <c r="D796" s="8" t="s">
        <v>383</v>
      </c>
      <c r="E796" s="8" t="s">
        <v>23</v>
      </c>
      <c r="F796" s="83">
        <v>600000</v>
      </c>
      <c r="G796" s="76">
        <v>0</v>
      </c>
      <c r="H796" s="82">
        <v>600000</v>
      </c>
      <c r="I796" s="79">
        <v>0</v>
      </c>
      <c r="J796" s="32">
        <v>0</v>
      </c>
      <c r="K796" s="10" t="s">
        <v>1249</v>
      </c>
    </row>
    <row r="797" spans="1:11" ht="22.9" customHeight="1" x14ac:dyDescent="0.25">
      <c r="A797" s="2">
        <v>2</v>
      </c>
      <c r="B797" s="162"/>
      <c r="C797" s="8" t="s">
        <v>1321</v>
      </c>
      <c r="D797" s="8" t="s">
        <v>1270</v>
      </c>
      <c r="E797" s="8" t="s">
        <v>23</v>
      </c>
      <c r="F797" s="83">
        <v>783187.15</v>
      </c>
      <c r="G797" s="76">
        <v>0</v>
      </c>
      <c r="H797" s="79">
        <v>0</v>
      </c>
      <c r="I797" s="83">
        <v>783187.15</v>
      </c>
      <c r="J797" s="32">
        <v>0</v>
      </c>
      <c r="K797" s="10" t="s">
        <v>1305</v>
      </c>
    </row>
    <row r="798" spans="1:11" ht="37.9" customHeight="1" x14ac:dyDescent="0.25">
      <c r="A798" s="2">
        <v>3</v>
      </c>
      <c r="B798" s="163"/>
      <c r="C798" s="8" t="s">
        <v>1322</v>
      </c>
      <c r="D798" s="8" t="s">
        <v>1323</v>
      </c>
      <c r="E798" s="8" t="s">
        <v>23</v>
      </c>
      <c r="F798" s="83">
        <v>1950000</v>
      </c>
      <c r="G798" s="76">
        <v>0</v>
      </c>
      <c r="H798" s="83">
        <v>1950000</v>
      </c>
      <c r="I798" s="79">
        <v>0</v>
      </c>
      <c r="J798" s="32">
        <v>0</v>
      </c>
      <c r="K798" s="10" t="s">
        <v>1249</v>
      </c>
    </row>
    <row r="799" spans="1:11" x14ac:dyDescent="0.25">
      <c r="A799" s="173" t="s">
        <v>20</v>
      </c>
      <c r="B799" s="173"/>
      <c r="C799" s="173"/>
      <c r="D799" s="173"/>
      <c r="E799" s="2"/>
      <c r="F799" s="82">
        <f>SUM(F796:F798)</f>
        <v>3333187.15</v>
      </c>
      <c r="G799" s="79">
        <f t="shared" ref="G799:I799" si="76">SUM(G796:G798)</f>
        <v>0</v>
      </c>
      <c r="H799" s="82">
        <f t="shared" si="76"/>
        <v>2550000</v>
      </c>
      <c r="I799" s="82">
        <f t="shared" si="76"/>
        <v>783187.15</v>
      </c>
      <c r="J799" s="32">
        <v>0</v>
      </c>
      <c r="K799" s="78"/>
    </row>
    <row r="800" spans="1:11" ht="90" x14ac:dyDescent="0.25">
      <c r="A800" s="2">
        <v>1</v>
      </c>
      <c r="B800" s="2" t="s">
        <v>1317</v>
      </c>
      <c r="C800" s="8" t="s">
        <v>1324</v>
      </c>
      <c r="D800" s="8" t="s">
        <v>515</v>
      </c>
      <c r="E800" s="8" t="s">
        <v>23</v>
      </c>
      <c r="F800" s="83">
        <v>4800000</v>
      </c>
      <c r="G800" s="76">
        <v>0</v>
      </c>
      <c r="H800" s="18">
        <v>0</v>
      </c>
      <c r="I800" s="83">
        <v>4800000</v>
      </c>
      <c r="J800" s="32">
        <v>0</v>
      </c>
      <c r="K800" s="10" t="s">
        <v>1251</v>
      </c>
    </row>
    <row r="801" spans="1:11" x14ac:dyDescent="0.25">
      <c r="A801" s="173" t="s">
        <v>1252</v>
      </c>
      <c r="B801" s="173"/>
      <c r="C801" s="173"/>
      <c r="D801" s="173"/>
      <c r="E801" s="2"/>
      <c r="F801" s="82">
        <f>SUM(F800)</f>
        <v>4800000</v>
      </c>
      <c r="G801" s="79">
        <f t="shared" ref="G801:I801" si="77">SUM(G800)</f>
        <v>0</v>
      </c>
      <c r="H801" s="18">
        <v>0</v>
      </c>
      <c r="I801" s="82">
        <f t="shared" si="77"/>
        <v>4800000</v>
      </c>
      <c r="J801" s="32">
        <v>0</v>
      </c>
      <c r="K801" s="78"/>
    </row>
    <row r="802" spans="1:11" ht="42.6" customHeight="1" x14ac:dyDescent="0.25">
      <c r="A802" s="2">
        <v>1</v>
      </c>
      <c r="B802" s="161" t="s">
        <v>1325</v>
      </c>
      <c r="C802" s="8" t="s">
        <v>1326</v>
      </c>
      <c r="D802" s="8" t="s">
        <v>132</v>
      </c>
      <c r="E802" s="8" t="s">
        <v>36</v>
      </c>
      <c r="F802" s="83">
        <f>1956000</f>
        <v>1956000</v>
      </c>
      <c r="G802" s="76">
        <v>0</v>
      </c>
      <c r="H802" s="82">
        <v>1956000</v>
      </c>
      <c r="I802" s="79">
        <v>0</v>
      </c>
      <c r="J802" s="32">
        <v>0</v>
      </c>
      <c r="K802" s="10" t="s">
        <v>1259</v>
      </c>
    </row>
    <row r="803" spans="1:11" ht="54.6" customHeight="1" x14ac:dyDescent="0.25">
      <c r="A803" s="2">
        <v>2</v>
      </c>
      <c r="B803" s="163"/>
      <c r="C803" s="8" t="s">
        <v>1327</v>
      </c>
      <c r="D803" s="8" t="s">
        <v>132</v>
      </c>
      <c r="E803" s="8" t="s">
        <v>23</v>
      </c>
      <c r="F803" s="83">
        <v>6000000</v>
      </c>
      <c r="G803" s="76">
        <v>0</v>
      </c>
      <c r="H803" s="82">
        <v>3000000</v>
      </c>
      <c r="I803" s="82">
        <v>3000000</v>
      </c>
      <c r="J803" s="32">
        <v>0</v>
      </c>
      <c r="K803" s="10" t="s">
        <v>1259</v>
      </c>
    </row>
    <row r="804" spans="1:11" x14ac:dyDescent="0.25">
      <c r="A804" s="173" t="s">
        <v>1247</v>
      </c>
      <c r="B804" s="173"/>
      <c r="C804" s="173"/>
      <c r="D804" s="173"/>
      <c r="E804" s="2"/>
      <c r="F804" s="82">
        <f>SUM(F802:F803)</f>
        <v>7956000</v>
      </c>
      <c r="G804" s="18">
        <f>SUM(G802:G803)</f>
        <v>0</v>
      </c>
      <c r="H804" s="82">
        <f>SUM(H802:H803)</f>
        <v>4956000</v>
      </c>
      <c r="I804" s="82">
        <f>SUM(I802:I803)</f>
        <v>3000000</v>
      </c>
      <c r="J804" s="32">
        <v>0</v>
      </c>
      <c r="K804" s="78"/>
    </row>
    <row r="805" spans="1:11" ht="90" x14ac:dyDescent="0.25">
      <c r="A805" s="2">
        <v>1</v>
      </c>
      <c r="B805" s="2" t="s">
        <v>1328</v>
      </c>
      <c r="C805" s="8" t="s">
        <v>1329</v>
      </c>
      <c r="D805" s="8" t="s">
        <v>132</v>
      </c>
      <c r="E805" s="8" t="s">
        <v>23</v>
      </c>
      <c r="F805" s="83">
        <v>9636310</v>
      </c>
      <c r="G805" s="76">
        <v>0</v>
      </c>
      <c r="H805" s="82">
        <v>5027640</v>
      </c>
      <c r="I805" s="82">
        <v>4608670</v>
      </c>
      <c r="J805" s="32">
        <v>0</v>
      </c>
      <c r="K805" s="10" t="s">
        <v>1244</v>
      </c>
    </row>
    <row r="806" spans="1:11" x14ac:dyDescent="0.25">
      <c r="A806" s="173" t="s">
        <v>20</v>
      </c>
      <c r="B806" s="173"/>
      <c r="C806" s="173"/>
      <c r="D806" s="173"/>
      <c r="E806" s="2"/>
      <c r="F806" s="82">
        <f>SUM(F805:F805)</f>
        <v>9636310</v>
      </c>
      <c r="G806" s="79">
        <f>SUM(G805:G805)</f>
        <v>0</v>
      </c>
      <c r="H806" s="82">
        <f>SUM(H805:H805)</f>
        <v>5027640</v>
      </c>
      <c r="I806" s="82">
        <f>SUM(I805:I805)</f>
        <v>4608670</v>
      </c>
      <c r="J806" s="32">
        <v>0</v>
      </c>
      <c r="K806" s="78"/>
    </row>
    <row r="807" spans="1:11" ht="90" x14ac:dyDescent="0.25">
      <c r="A807" s="2">
        <v>1</v>
      </c>
      <c r="B807" s="2" t="s">
        <v>1328</v>
      </c>
      <c r="C807" s="8" t="s">
        <v>1330</v>
      </c>
      <c r="D807" s="8" t="s">
        <v>383</v>
      </c>
      <c r="E807" s="8" t="s">
        <v>23</v>
      </c>
      <c r="F807" s="83">
        <v>200000</v>
      </c>
      <c r="G807" s="76">
        <v>0</v>
      </c>
      <c r="H807" s="82">
        <v>200000</v>
      </c>
      <c r="I807" s="79">
        <v>0</v>
      </c>
      <c r="J807" s="32">
        <v>0</v>
      </c>
      <c r="K807" s="10" t="s">
        <v>1249</v>
      </c>
    </row>
    <row r="808" spans="1:11" x14ac:dyDescent="0.25">
      <c r="A808" s="173" t="s">
        <v>1247</v>
      </c>
      <c r="B808" s="173"/>
      <c r="C808" s="173"/>
      <c r="D808" s="173"/>
      <c r="E808" s="8"/>
      <c r="F808" s="83">
        <f>SUM(F807)</f>
        <v>200000</v>
      </c>
      <c r="G808" s="76">
        <f t="shared" ref="G808:I808" si="78">SUM(G807)</f>
        <v>0</v>
      </c>
      <c r="H808" s="83">
        <f t="shared" si="78"/>
        <v>200000</v>
      </c>
      <c r="I808" s="76">
        <f t="shared" si="78"/>
        <v>0</v>
      </c>
      <c r="J808" s="32">
        <v>0</v>
      </c>
      <c r="K808" s="10"/>
    </row>
    <row r="809" spans="1:11" ht="90" x14ac:dyDescent="0.25">
      <c r="A809" s="2">
        <v>1</v>
      </c>
      <c r="B809" s="2" t="s">
        <v>1328</v>
      </c>
      <c r="C809" s="8" t="s">
        <v>1331</v>
      </c>
      <c r="D809" s="8" t="s">
        <v>383</v>
      </c>
      <c r="E809" s="8" t="s">
        <v>23</v>
      </c>
      <c r="F809" s="83">
        <v>200000</v>
      </c>
      <c r="G809" s="76">
        <v>0</v>
      </c>
      <c r="H809" s="79">
        <v>0</v>
      </c>
      <c r="I809" s="82">
        <v>200000</v>
      </c>
      <c r="J809" s="32">
        <v>0</v>
      </c>
      <c r="K809" s="10" t="s">
        <v>1251</v>
      </c>
    </row>
    <row r="810" spans="1:11" x14ac:dyDescent="0.25">
      <c r="A810" s="173" t="s">
        <v>1252</v>
      </c>
      <c r="B810" s="173"/>
      <c r="C810" s="173"/>
      <c r="D810" s="173"/>
      <c r="E810" s="8"/>
      <c r="F810" s="83">
        <f>SUM(F809)</f>
        <v>200000</v>
      </c>
      <c r="G810" s="76">
        <f t="shared" ref="G810:I810" si="79">SUM(G809)</f>
        <v>0</v>
      </c>
      <c r="H810" s="76">
        <f t="shared" si="79"/>
        <v>0</v>
      </c>
      <c r="I810" s="83">
        <f t="shared" si="79"/>
        <v>200000</v>
      </c>
      <c r="J810" s="32">
        <v>0</v>
      </c>
      <c r="K810" s="10"/>
    </row>
    <row r="811" spans="1:11" ht="90" x14ac:dyDescent="0.25">
      <c r="A811" s="2">
        <v>1</v>
      </c>
      <c r="B811" s="2" t="s">
        <v>1332</v>
      </c>
      <c r="C811" s="8" t="s">
        <v>1333</v>
      </c>
      <c r="D811" s="8" t="s">
        <v>132</v>
      </c>
      <c r="E811" s="8" t="s">
        <v>23</v>
      </c>
      <c r="F811" s="83">
        <v>5418400</v>
      </c>
      <c r="G811" s="76">
        <v>0</v>
      </c>
      <c r="H811" s="82">
        <v>2709200</v>
      </c>
      <c r="I811" s="82">
        <v>2709200</v>
      </c>
      <c r="J811" s="32">
        <v>0</v>
      </c>
      <c r="K811" s="10" t="s">
        <v>1244</v>
      </c>
    </row>
    <row r="812" spans="1:11" x14ac:dyDescent="0.25">
      <c r="A812" s="173" t="s">
        <v>1247</v>
      </c>
      <c r="B812" s="173"/>
      <c r="C812" s="173"/>
      <c r="D812" s="173"/>
      <c r="E812" s="2"/>
      <c r="F812" s="82">
        <f>SUM(F811:F811)</f>
        <v>5418400</v>
      </c>
      <c r="G812" s="18">
        <f>SUM(G811:G811)</f>
        <v>0</v>
      </c>
      <c r="H812" s="82">
        <f>SUM(H811:H811)</f>
        <v>2709200</v>
      </c>
      <c r="I812" s="82">
        <f>SUM(I811:I811)</f>
        <v>2709200</v>
      </c>
      <c r="J812" s="32">
        <v>0</v>
      </c>
      <c r="K812" s="10"/>
    </row>
    <row r="813" spans="1:11" ht="90" x14ac:dyDescent="0.25">
      <c r="A813" s="2">
        <v>1</v>
      </c>
      <c r="B813" s="2" t="s">
        <v>1335</v>
      </c>
      <c r="C813" s="8" t="s">
        <v>1336</v>
      </c>
      <c r="D813" s="8" t="s">
        <v>1296</v>
      </c>
      <c r="E813" s="8" t="s">
        <v>23</v>
      </c>
      <c r="F813" s="82">
        <v>794900</v>
      </c>
      <c r="G813" s="79">
        <v>0</v>
      </c>
      <c r="H813" s="82">
        <v>257829.91</v>
      </c>
      <c r="I813" s="82">
        <v>537070.09</v>
      </c>
      <c r="J813" s="32">
        <v>0</v>
      </c>
      <c r="K813" s="10" t="s">
        <v>1244</v>
      </c>
    </row>
    <row r="814" spans="1:11" x14ac:dyDescent="0.25">
      <c r="A814" s="173" t="s">
        <v>1247</v>
      </c>
      <c r="B814" s="173"/>
      <c r="C814" s="173"/>
      <c r="D814" s="173"/>
      <c r="E814" s="2"/>
      <c r="F814" s="82">
        <f>SUM(F813:F813)</f>
        <v>794900</v>
      </c>
      <c r="G814" s="18">
        <f>SUM(G813:G813)</f>
        <v>0</v>
      </c>
      <c r="H814" s="82">
        <f>SUM(H813:H813)</f>
        <v>257829.91</v>
      </c>
      <c r="I814" s="82">
        <f>SUM(I813:I813)</f>
        <v>537070.09</v>
      </c>
      <c r="J814" s="32">
        <v>0</v>
      </c>
      <c r="K814" s="10"/>
    </row>
    <row r="815" spans="1:11" ht="90" x14ac:dyDescent="0.25">
      <c r="A815" s="2">
        <v>1</v>
      </c>
      <c r="B815" s="2" t="s">
        <v>1337</v>
      </c>
      <c r="C815" s="8" t="s">
        <v>1338</v>
      </c>
      <c r="D815" s="8" t="s">
        <v>132</v>
      </c>
      <c r="E815" s="8" t="s">
        <v>36</v>
      </c>
      <c r="F815" s="77">
        <v>8966.4</v>
      </c>
      <c r="G815" s="79">
        <v>0</v>
      </c>
      <c r="H815" s="77">
        <v>4470.8</v>
      </c>
      <c r="I815" s="77">
        <v>4495.6000000000004</v>
      </c>
      <c r="J815" s="32">
        <v>0</v>
      </c>
      <c r="K815" s="10" t="s">
        <v>1293</v>
      </c>
    </row>
    <row r="816" spans="1:11" x14ac:dyDescent="0.25">
      <c r="A816" s="173" t="s">
        <v>1247</v>
      </c>
      <c r="B816" s="173"/>
      <c r="C816" s="173"/>
      <c r="D816" s="173"/>
      <c r="E816" s="2"/>
      <c r="F816" s="17">
        <f>SUM(F815:F815)</f>
        <v>8966.4</v>
      </c>
      <c r="G816" s="75"/>
      <c r="H816" s="17">
        <f>SUM(H815:H815)</f>
        <v>4470.8</v>
      </c>
      <c r="I816" s="17">
        <f>SUM(I815:I815)</f>
        <v>4495.6000000000004</v>
      </c>
      <c r="J816" s="32">
        <v>0</v>
      </c>
      <c r="K816" s="78"/>
    </row>
    <row r="817" spans="1:11" ht="90" x14ac:dyDescent="0.25">
      <c r="A817" s="2">
        <v>1</v>
      </c>
      <c r="B817" s="2" t="s">
        <v>1337</v>
      </c>
      <c r="C817" s="10" t="s">
        <v>1340</v>
      </c>
      <c r="D817" s="10" t="s">
        <v>383</v>
      </c>
      <c r="E817" s="2" t="s">
        <v>23</v>
      </c>
      <c r="F817" s="82">
        <v>750000</v>
      </c>
      <c r="G817" s="79">
        <v>0</v>
      </c>
      <c r="H817" s="82">
        <v>750000</v>
      </c>
      <c r="I817" s="79">
        <v>0</v>
      </c>
      <c r="J817" s="32">
        <v>0</v>
      </c>
      <c r="K817" s="78">
        <v>46419</v>
      </c>
    </row>
    <row r="818" spans="1:11" x14ac:dyDescent="0.25">
      <c r="A818" s="173" t="s">
        <v>20</v>
      </c>
      <c r="B818" s="173"/>
      <c r="C818" s="173"/>
      <c r="D818" s="173"/>
      <c r="E818" s="2"/>
      <c r="F818" s="82">
        <f>F817</f>
        <v>750000</v>
      </c>
      <c r="G818" s="79">
        <f>G817</f>
        <v>0</v>
      </c>
      <c r="H818" s="82">
        <f>H817</f>
        <v>750000</v>
      </c>
      <c r="I818" s="79">
        <v>0</v>
      </c>
      <c r="J818" s="32">
        <v>0</v>
      </c>
      <c r="K818" s="78"/>
    </row>
    <row r="819" spans="1:11" ht="90" x14ac:dyDescent="0.25">
      <c r="A819" s="2">
        <v>1</v>
      </c>
      <c r="B819" s="2" t="s">
        <v>1337</v>
      </c>
      <c r="C819" s="10" t="s">
        <v>1341</v>
      </c>
      <c r="D819" s="10" t="s">
        <v>383</v>
      </c>
      <c r="E819" s="2" t="s">
        <v>23</v>
      </c>
      <c r="F819" s="82">
        <v>750000</v>
      </c>
      <c r="G819" s="79">
        <v>0</v>
      </c>
      <c r="H819" s="79">
        <v>0</v>
      </c>
      <c r="I819" s="82">
        <v>750000</v>
      </c>
      <c r="J819" s="32">
        <v>0</v>
      </c>
      <c r="K819" s="78">
        <v>46784</v>
      </c>
    </row>
    <row r="820" spans="1:11" x14ac:dyDescent="0.25">
      <c r="A820" s="173" t="s">
        <v>1252</v>
      </c>
      <c r="B820" s="173"/>
      <c r="C820" s="173"/>
      <c r="D820" s="173"/>
      <c r="E820" s="2"/>
      <c r="F820" s="82">
        <f>SUM(F819)</f>
        <v>750000</v>
      </c>
      <c r="G820" s="79">
        <f t="shared" ref="G820:I820" si="80">SUM(G819)</f>
        <v>0</v>
      </c>
      <c r="H820" s="79">
        <f t="shared" si="80"/>
        <v>0</v>
      </c>
      <c r="I820" s="82">
        <f t="shared" si="80"/>
        <v>750000</v>
      </c>
      <c r="J820" s="32">
        <v>0</v>
      </c>
      <c r="K820" s="78"/>
    </row>
    <row r="821" spans="1:11" ht="75" x14ac:dyDescent="0.25">
      <c r="A821" s="2">
        <v>1</v>
      </c>
      <c r="B821" s="2" t="s">
        <v>1342</v>
      </c>
      <c r="C821" s="10" t="s">
        <v>1344</v>
      </c>
      <c r="D821" s="10" t="s">
        <v>132</v>
      </c>
      <c r="E821" s="8" t="s">
        <v>23</v>
      </c>
      <c r="F821" s="82">
        <v>4060800</v>
      </c>
      <c r="G821" s="79">
        <v>0</v>
      </c>
      <c r="H821" s="82">
        <v>2030400</v>
      </c>
      <c r="I821" s="82">
        <v>2030400</v>
      </c>
      <c r="J821" s="32">
        <v>0</v>
      </c>
      <c r="K821" s="10" t="s">
        <v>1345</v>
      </c>
    </row>
    <row r="822" spans="1:11" x14ac:dyDescent="0.25">
      <c r="A822" s="173" t="s">
        <v>20</v>
      </c>
      <c r="B822" s="173"/>
      <c r="C822" s="173"/>
      <c r="D822" s="173"/>
      <c r="E822" s="2"/>
      <c r="F822" s="82">
        <f>SUM(F821)</f>
        <v>4060800</v>
      </c>
      <c r="G822" s="79">
        <f t="shared" ref="G822:I822" si="81">SUM(G821)</f>
        <v>0</v>
      </c>
      <c r="H822" s="82">
        <f t="shared" si="81"/>
        <v>2030400</v>
      </c>
      <c r="I822" s="82">
        <f t="shared" si="81"/>
        <v>2030400</v>
      </c>
      <c r="J822" s="32">
        <v>0</v>
      </c>
      <c r="K822" s="10"/>
    </row>
    <row r="823" spans="1:11" ht="75" x14ac:dyDescent="0.25">
      <c r="A823" s="2">
        <v>1</v>
      </c>
      <c r="B823" s="2" t="s">
        <v>1346</v>
      </c>
      <c r="C823" s="8" t="s">
        <v>1347</v>
      </c>
      <c r="D823" s="8" t="s">
        <v>132</v>
      </c>
      <c r="E823" s="8" t="s">
        <v>23</v>
      </c>
      <c r="F823" s="83">
        <v>1000000</v>
      </c>
      <c r="G823" s="76">
        <v>0</v>
      </c>
      <c r="H823" s="79">
        <v>0</v>
      </c>
      <c r="I823" s="83">
        <v>1000000</v>
      </c>
      <c r="J823" s="32">
        <v>0</v>
      </c>
      <c r="K823" s="10" t="s">
        <v>1348</v>
      </c>
    </row>
    <row r="824" spans="1:11" x14ac:dyDescent="0.25">
      <c r="A824" s="173" t="s">
        <v>20</v>
      </c>
      <c r="B824" s="173"/>
      <c r="C824" s="173"/>
      <c r="D824" s="173"/>
      <c r="E824" s="2"/>
      <c r="F824" s="82">
        <f>SUM(F823)</f>
        <v>1000000</v>
      </c>
      <c r="G824" s="79">
        <f t="shared" ref="G824:I824" si="82">SUM(G823)</f>
        <v>0</v>
      </c>
      <c r="H824" s="79">
        <f t="shared" si="82"/>
        <v>0</v>
      </c>
      <c r="I824" s="82">
        <f t="shared" si="82"/>
        <v>1000000</v>
      </c>
      <c r="J824" s="32">
        <v>0</v>
      </c>
      <c r="K824" s="78"/>
    </row>
    <row r="825" spans="1:11" ht="39" customHeight="1" x14ac:dyDescent="0.25">
      <c r="A825" s="2">
        <v>1</v>
      </c>
      <c r="B825" s="161" t="s">
        <v>1349</v>
      </c>
      <c r="C825" s="10" t="s">
        <v>1350</v>
      </c>
      <c r="D825" s="10" t="s">
        <v>132</v>
      </c>
      <c r="E825" s="2" t="s">
        <v>23</v>
      </c>
      <c r="F825" s="82">
        <v>4087560</v>
      </c>
      <c r="G825" s="79">
        <v>0</v>
      </c>
      <c r="H825" s="82">
        <v>1445580</v>
      </c>
      <c r="I825" s="82">
        <v>2641980</v>
      </c>
      <c r="J825" s="32">
        <v>0</v>
      </c>
      <c r="K825" s="78">
        <v>46054</v>
      </c>
    </row>
    <row r="826" spans="1:11" ht="39" customHeight="1" x14ac:dyDescent="0.25">
      <c r="A826" s="2">
        <v>2</v>
      </c>
      <c r="B826" s="163"/>
      <c r="C826" s="10" t="s">
        <v>1351</v>
      </c>
      <c r="D826" s="10" t="s">
        <v>1352</v>
      </c>
      <c r="E826" s="2" t="s">
        <v>23</v>
      </c>
      <c r="F826" s="82">
        <v>500028.18</v>
      </c>
      <c r="G826" s="82">
        <v>500028.18</v>
      </c>
      <c r="H826" s="79">
        <v>0</v>
      </c>
      <c r="I826" s="79">
        <v>0</v>
      </c>
      <c r="J826" s="32">
        <v>0</v>
      </c>
      <c r="K826" s="78">
        <v>46174</v>
      </c>
    </row>
    <row r="827" spans="1:11" x14ac:dyDescent="0.25">
      <c r="A827" s="173" t="s">
        <v>1247</v>
      </c>
      <c r="B827" s="173"/>
      <c r="C827" s="173"/>
      <c r="D827" s="173"/>
      <c r="E827" s="2"/>
      <c r="F827" s="82">
        <f>SUM(F825:F826)</f>
        <v>4587588.18</v>
      </c>
      <c r="G827" s="82">
        <f t="shared" ref="G827:I827" si="83">SUM(G825:G826)</f>
        <v>500028.18</v>
      </c>
      <c r="H827" s="82">
        <f t="shared" si="83"/>
        <v>1445580</v>
      </c>
      <c r="I827" s="82">
        <f t="shared" si="83"/>
        <v>2641980</v>
      </c>
      <c r="J827" s="32">
        <v>0</v>
      </c>
      <c r="K827" s="78"/>
    </row>
    <row r="828" spans="1:11" ht="90" x14ac:dyDescent="0.25">
      <c r="A828" s="2">
        <v>1</v>
      </c>
      <c r="B828" s="2" t="s">
        <v>1349</v>
      </c>
      <c r="C828" s="10" t="s">
        <v>1353</v>
      </c>
      <c r="D828" s="10" t="s">
        <v>515</v>
      </c>
      <c r="E828" s="2" t="s">
        <v>23</v>
      </c>
      <c r="F828" s="82">
        <v>2971886.47</v>
      </c>
      <c r="G828" s="79">
        <v>0</v>
      </c>
      <c r="H828" s="82">
        <v>2971886.47</v>
      </c>
      <c r="I828" s="79">
        <v>0</v>
      </c>
      <c r="J828" s="32">
        <v>0</v>
      </c>
      <c r="K828" s="78">
        <v>46447</v>
      </c>
    </row>
    <row r="829" spans="1:11" x14ac:dyDescent="0.25">
      <c r="A829" s="173" t="s">
        <v>20</v>
      </c>
      <c r="B829" s="173"/>
      <c r="C829" s="173"/>
      <c r="D829" s="173"/>
      <c r="E829" s="2"/>
      <c r="F829" s="82">
        <f>SUM(F828)</f>
        <v>2971886.47</v>
      </c>
      <c r="G829" s="79">
        <f t="shared" ref="G829:I829" si="84">SUM(G828)</f>
        <v>0</v>
      </c>
      <c r="H829" s="82">
        <f t="shared" si="84"/>
        <v>2971886.47</v>
      </c>
      <c r="I829" s="79">
        <f t="shared" si="84"/>
        <v>0</v>
      </c>
      <c r="J829" s="32">
        <v>0</v>
      </c>
      <c r="K829" s="78"/>
    </row>
    <row r="830" spans="1:11" ht="90" x14ac:dyDescent="0.25">
      <c r="A830" s="2">
        <v>1</v>
      </c>
      <c r="B830" s="2" t="s">
        <v>1349</v>
      </c>
      <c r="C830" s="10" t="s">
        <v>1354</v>
      </c>
      <c r="D830" s="10" t="s">
        <v>515</v>
      </c>
      <c r="E830" s="8" t="s">
        <v>23</v>
      </c>
      <c r="F830" s="82">
        <v>2971886.47</v>
      </c>
      <c r="G830" s="79">
        <v>0</v>
      </c>
      <c r="H830" s="79">
        <v>0</v>
      </c>
      <c r="I830" s="82">
        <v>2971886.47</v>
      </c>
      <c r="J830" s="32">
        <v>0</v>
      </c>
      <c r="K830" s="78">
        <v>46813</v>
      </c>
    </row>
    <row r="831" spans="1:11" x14ac:dyDescent="0.25">
      <c r="A831" s="173" t="s">
        <v>1252</v>
      </c>
      <c r="B831" s="173"/>
      <c r="C831" s="173"/>
      <c r="D831" s="173"/>
      <c r="E831" s="2"/>
      <c r="F831" s="82">
        <f>SUM(F830)</f>
        <v>2971886.47</v>
      </c>
      <c r="G831" s="79">
        <f t="shared" ref="G831:I831" si="85">SUM(G830)</f>
        <v>0</v>
      </c>
      <c r="H831" s="79">
        <f t="shared" si="85"/>
        <v>0</v>
      </c>
      <c r="I831" s="82">
        <f t="shared" si="85"/>
        <v>2971886.47</v>
      </c>
      <c r="J831" s="32">
        <v>0</v>
      </c>
      <c r="K831" s="78"/>
    </row>
    <row r="832" spans="1:11" ht="90" x14ac:dyDescent="0.25">
      <c r="A832" s="2">
        <v>1</v>
      </c>
      <c r="B832" s="2" t="s">
        <v>1355</v>
      </c>
      <c r="C832" s="8" t="s">
        <v>1356</v>
      </c>
      <c r="D832" s="8" t="s">
        <v>132</v>
      </c>
      <c r="E832" s="8" t="s">
        <v>23</v>
      </c>
      <c r="F832" s="82">
        <v>8736000</v>
      </c>
      <c r="G832" s="16">
        <v>0</v>
      </c>
      <c r="H832" s="82">
        <v>4368000</v>
      </c>
      <c r="I832" s="82">
        <v>4368000</v>
      </c>
      <c r="J832" s="32">
        <v>0</v>
      </c>
      <c r="K832" s="10" t="s">
        <v>1297</v>
      </c>
    </row>
    <row r="833" spans="1:11" x14ac:dyDescent="0.25">
      <c r="A833" s="173" t="s">
        <v>1247</v>
      </c>
      <c r="B833" s="173"/>
      <c r="C833" s="173"/>
      <c r="D833" s="173"/>
      <c r="E833" s="2"/>
      <c r="F833" s="82">
        <f>SUM(F832:F832)</f>
        <v>8736000</v>
      </c>
      <c r="G833" s="18">
        <f>SUM(G832:G832)</f>
        <v>0</v>
      </c>
      <c r="H833" s="82">
        <f>SUM(H832:H832)</f>
        <v>4368000</v>
      </c>
      <c r="I833" s="82">
        <f>SUM(I832:I832)</f>
        <v>4368000</v>
      </c>
      <c r="J833" s="32">
        <v>0</v>
      </c>
      <c r="K833" s="10"/>
    </row>
    <row r="834" spans="1:11" ht="42.6" customHeight="1" x14ac:dyDescent="0.25">
      <c r="A834" s="2">
        <v>1</v>
      </c>
      <c r="B834" s="161" t="s">
        <v>1357</v>
      </c>
      <c r="C834" s="8" t="s">
        <v>1358</v>
      </c>
      <c r="D834" s="8" t="s">
        <v>1359</v>
      </c>
      <c r="E834" s="8" t="s">
        <v>36</v>
      </c>
      <c r="F834" s="75">
        <v>1214.5</v>
      </c>
      <c r="G834" s="75">
        <v>1214.5</v>
      </c>
      <c r="H834" s="79">
        <v>0</v>
      </c>
      <c r="I834" s="79">
        <v>0</v>
      </c>
      <c r="J834" s="32">
        <v>0</v>
      </c>
      <c r="K834" s="10" t="s">
        <v>1343</v>
      </c>
    </row>
    <row r="835" spans="1:11" ht="42.6" customHeight="1" x14ac:dyDescent="0.25">
      <c r="A835" s="2">
        <v>2</v>
      </c>
      <c r="B835" s="163"/>
      <c r="C835" s="8" t="s">
        <v>1360</v>
      </c>
      <c r="D835" s="8" t="s">
        <v>132</v>
      </c>
      <c r="E835" s="8" t="s">
        <v>23</v>
      </c>
      <c r="F835" s="75">
        <v>18522</v>
      </c>
      <c r="G835" s="76">
        <v>0</v>
      </c>
      <c r="H835" s="77">
        <v>9261</v>
      </c>
      <c r="I835" s="77">
        <v>9261</v>
      </c>
      <c r="J835" s="32">
        <v>0</v>
      </c>
      <c r="K835" s="10" t="s">
        <v>1268</v>
      </c>
    </row>
    <row r="836" spans="1:11" x14ac:dyDescent="0.25">
      <c r="A836" s="173" t="s">
        <v>1247</v>
      </c>
      <c r="B836" s="173"/>
      <c r="C836" s="173"/>
      <c r="D836" s="173"/>
      <c r="E836" s="2"/>
      <c r="F836" s="17">
        <f>SUM(F834:F835)</f>
        <v>19736.5</v>
      </c>
      <c r="G836" s="17">
        <f>SUM(G834:G835)</f>
        <v>1214.5</v>
      </c>
      <c r="H836" s="17">
        <f>SUM(H834:H835)</f>
        <v>9261</v>
      </c>
      <c r="I836" s="17">
        <f>SUM(I834:I835)</f>
        <v>9261</v>
      </c>
      <c r="J836" s="32">
        <v>0</v>
      </c>
      <c r="K836" s="78"/>
    </row>
    <row r="837" spans="1:11" ht="105" x14ac:dyDescent="0.25">
      <c r="A837" s="2">
        <v>1</v>
      </c>
      <c r="B837" s="2" t="s">
        <v>1361</v>
      </c>
      <c r="C837" s="8" t="s">
        <v>1362</v>
      </c>
      <c r="D837" s="8" t="s">
        <v>449</v>
      </c>
      <c r="E837" s="8" t="s">
        <v>23</v>
      </c>
      <c r="F837" s="83">
        <v>750000</v>
      </c>
      <c r="G837" s="76">
        <v>0</v>
      </c>
      <c r="H837" s="83">
        <v>750000</v>
      </c>
      <c r="I837" s="79">
        <v>0</v>
      </c>
      <c r="J837" s="32">
        <v>0</v>
      </c>
      <c r="K837" s="10" t="s">
        <v>1249</v>
      </c>
    </row>
    <row r="838" spans="1:11" x14ac:dyDescent="0.25">
      <c r="A838" s="173" t="s">
        <v>20</v>
      </c>
      <c r="B838" s="173"/>
      <c r="C838" s="173"/>
      <c r="D838" s="173"/>
      <c r="E838" s="2"/>
      <c r="F838" s="82">
        <f>F837</f>
        <v>750000</v>
      </c>
      <c r="G838" s="79">
        <f t="shared" ref="G838:I838" si="86">G837</f>
        <v>0</v>
      </c>
      <c r="H838" s="82">
        <f t="shared" si="86"/>
        <v>750000</v>
      </c>
      <c r="I838" s="79">
        <f t="shared" si="86"/>
        <v>0</v>
      </c>
      <c r="J838" s="32">
        <v>0</v>
      </c>
      <c r="K838" s="78"/>
    </row>
    <row r="839" spans="1:11" ht="105" x14ac:dyDescent="0.25">
      <c r="A839" s="2">
        <v>1</v>
      </c>
      <c r="B839" s="2" t="s">
        <v>1361</v>
      </c>
      <c r="C839" s="8" t="s">
        <v>1363</v>
      </c>
      <c r="D839" s="8" t="s">
        <v>449</v>
      </c>
      <c r="E839" s="8" t="s">
        <v>23</v>
      </c>
      <c r="F839" s="83">
        <v>750000</v>
      </c>
      <c r="G839" s="76">
        <v>0</v>
      </c>
      <c r="H839" s="79">
        <v>0</v>
      </c>
      <c r="I839" s="83">
        <v>750000</v>
      </c>
      <c r="J839" s="32">
        <v>0</v>
      </c>
      <c r="K839" s="10" t="s">
        <v>1251</v>
      </c>
    </row>
    <row r="840" spans="1:11" x14ac:dyDescent="0.25">
      <c r="A840" s="173" t="s">
        <v>1252</v>
      </c>
      <c r="B840" s="173"/>
      <c r="C840" s="173"/>
      <c r="D840" s="173"/>
      <c r="E840" s="2"/>
      <c r="F840" s="82">
        <f>F839</f>
        <v>750000</v>
      </c>
      <c r="G840" s="79">
        <f t="shared" ref="G840:I840" si="87">G839</f>
        <v>0</v>
      </c>
      <c r="H840" s="79">
        <f t="shared" si="87"/>
        <v>0</v>
      </c>
      <c r="I840" s="82">
        <f t="shared" si="87"/>
        <v>750000</v>
      </c>
      <c r="J840" s="32">
        <v>0</v>
      </c>
      <c r="K840" s="78"/>
    </row>
    <row r="841" spans="1:11" ht="60" x14ac:dyDescent="0.25">
      <c r="A841" s="2">
        <v>1</v>
      </c>
      <c r="B841" s="2" t="s">
        <v>1364</v>
      </c>
      <c r="C841" s="10" t="s">
        <v>1365</v>
      </c>
      <c r="D841" s="8" t="s">
        <v>1366</v>
      </c>
      <c r="E841" s="8" t="s">
        <v>23</v>
      </c>
      <c r="F841" s="82">
        <v>1300000</v>
      </c>
      <c r="G841" s="79">
        <v>0</v>
      </c>
      <c r="H841" s="82">
        <v>1300000</v>
      </c>
      <c r="I841" s="18">
        <v>0</v>
      </c>
      <c r="J841" s="32">
        <v>0</v>
      </c>
      <c r="K841" s="10" t="s">
        <v>1249</v>
      </c>
    </row>
    <row r="842" spans="1:11" x14ac:dyDescent="0.25">
      <c r="A842" s="173" t="s">
        <v>20</v>
      </c>
      <c r="B842" s="173"/>
      <c r="C842" s="173"/>
      <c r="D842" s="173"/>
      <c r="E842" s="2"/>
      <c r="F842" s="82">
        <f>SUM(F841)</f>
        <v>1300000</v>
      </c>
      <c r="G842" s="79">
        <f t="shared" ref="G842:I842" si="88">SUM(G841)</f>
        <v>0</v>
      </c>
      <c r="H842" s="82">
        <f t="shared" si="88"/>
        <v>1300000</v>
      </c>
      <c r="I842" s="18">
        <f t="shared" si="88"/>
        <v>0</v>
      </c>
      <c r="J842" s="32">
        <v>0</v>
      </c>
      <c r="K842" s="10"/>
    </row>
    <row r="843" spans="1:11" ht="60" x14ac:dyDescent="0.25">
      <c r="A843" s="2">
        <v>1</v>
      </c>
      <c r="B843" s="2" t="s">
        <v>1364</v>
      </c>
      <c r="C843" s="10" t="s">
        <v>1367</v>
      </c>
      <c r="D843" s="8" t="s">
        <v>1366</v>
      </c>
      <c r="E843" s="8" t="s">
        <v>23</v>
      </c>
      <c r="F843" s="82">
        <v>1300000</v>
      </c>
      <c r="G843" s="79">
        <v>0</v>
      </c>
      <c r="H843" s="79">
        <v>0</v>
      </c>
      <c r="I843" s="82">
        <v>1300000</v>
      </c>
      <c r="J843" s="32">
        <v>0</v>
      </c>
      <c r="K843" s="10" t="s">
        <v>1251</v>
      </c>
    </row>
    <row r="844" spans="1:11" x14ac:dyDescent="0.25">
      <c r="A844" s="173" t="s">
        <v>1252</v>
      </c>
      <c r="B844" s="173"/>
      <c r="C844" s="173"/>
      <c r="D844" s="173"/>
      <c r="E844" s="2"/>
      <c r="F844" s="82">
        <f>SUM(F843)</f>
        <v>1300000</v>
      </c>
      <c r="G844" s="79">
        <f t="shared" ref="G844:I844" si="89">SUM(G843)</f>
        <v>0</v>
      </c>
      <c r="H844" s="79">
        <f t="shared" si="89"/>
        <v>0</v>
      </c>
      <c r="I844" s="82">
        <f t="shared" si="89"/>
        <v>1300000</v>
      </c>
      <c r="J844" s="32">
        <v>0</v>
      </c>
      <c r="K844" s="10"/>
    </row>
    <row r="845" spans="1:11" ht="30.6" customHeight="1" x14ac:dyDescent="0.25">
      <c r="A845" s="2">
        <v>1</v>
      </c>
      <c r="B845" s="161" t="s">
        <v>1368</v>
      </c>
      <c r="C845" s="8" t="s">
        <v>1369</v>
      </c>
      <c r="D845" s="8" t="s">
        <v>132</v>
      </c>
      <c r="E845" s="8" t="s">
        <v>23</v>
      </c>
      <c r="F845" s="83">
        <v>10328400</v>
      </c>
      <c r="G845" s="76">
        <v>0</v>
      </c>
      <c r="H845" s="82">
        <v>5164200</v>
      </c>
      <c r="I845" s="82">
        <v>5164200</v>
      </c>
      <c r="J845" s="32">
        <v>0</v>
      </c>
      <c r="K845" s="10" t="s">
        <v>1334</v>
      </c>
    </row>
    <row r="846" spans="1:11" ht="30.6" customHeight="1" x14ac:dyDescent="0.25">
      <c r="A846" s="2">
        <v>2</v>
      </c>
      <c r="B846" s="162"/>
      <c r="C846" s="8" t="s">
        <v>1370</v>
      </c>
      <c r="D846" s="8" t="s">
        <v>1371</v>
      </c>
      <c r="E846" s="8" t="s">
        <v>23</v>
      </c>
      <c r="F846" s="83">
        <v>2321000</v>
      </c>
      <c r="G846" s="83">
        <v>2321000</v>
      </c>
      <c r="H846" s="79">
        <v>0</v>
      </c>
      <c r="I846" s="79">
        <v>0</v>
      </c>
      <c r="J846" s="32">
        <v>0</v>
      </c>
      <c r="K846" s="10" t="s">
        <v>1242</v>
      </c>
    </row>
    <row r="847" spans="1:11" ht="30.6" customHeight="1" x14ac:dyDescent="0.25">
      <c r="A847" s="2">
        <v>3</v>
      </c>
      <c r="B847" s="163"/>
      <c r="C847" s="8" t="s">
        <v>1372</v>
      </c>
      <c r="D847" s="8" t="s">
        <v>266</v>
      </c>
      <c r="E847" s="8" t="s">
        <v>23</v>
      </c>
      <c r="F847" s="83">
        <v>1089400.49</v>
      </c>
      <c r="G847" s="76">
        <v>0</v>
      </c>
      <c r="H847" s="82">
        <v>1089400.49</v>
      </c>
      <c r="I847" s="79">
        <v>0</v>
      </c>
      <c r="J847" s="32">
        <v>0</v>
      </c>
      <c r="K847" s="10" t="s">
        <v>1373</v>
      </c>
    </row>
    <row r="848" spans="1:11" x14ac:dyDescent="0.25">
      <c r="A848" s="173" t="s">
        <v>1247</v>
      </c>
      <c r="B848" s="173"/>
      <c r="C848" s="173"/>
      <c r="D848" s="173"/>
      <c r="E848" s="2"/>
      <c r="F848" s="82">
        <f>SUM(F845:F847)</f>
        <v>13738800.49</v>
      </c>
      <c r="G848" s="82">
        <f>SUM(G845:G847)</f>
        <v>2321000</v>
      </c>
      <c r="H848" s="82">
        <f>SUM(H845:H847)</f>
        <v>6253600.4900000002</v>
      </c>
      <c r="I848" s="82">
        <f>SUM(I845:I847)</f>
        <v>5164200</v>
      </c>
      <c r="J848" s="32">
        <v>0</v>
      </c>
      <c r="K848" s="78"/>
    </row>
    <row r="849" spans="1:11" ht="31.9" customHeight="1" x14ac:dyDescent="0.25">
      <c r="A849" s="2">
        <v>1</v>
      </c>
      <c r="B849" s="161" t="s">
        <v>1374</v>
      </c>
      <c r="C849" s="8" t="s">
        <v>1375</v>
      </c>
      <c r="D849" s="8" t="s">
        <v>1339</v>
      </c>
      <c r="E849" s="8" t="s">
        <v>23</v>
      </c>
      <c r="F849" s="83">
        <v>40000</v>
      </c>
      <c r="G849" s="16">
        <v>0</v>
      </c>
      <c r="H849" s="79">
        <v>0</v>
      </c>
      <c r="I849" s="82">
        <v>40000</v>
      </c>
      <c r="J849" s="32">
        <v>0</v>
      </c>
      <c r="K849" s="10" t="s">
        <v>1297</v>
      </c>
    </row>
    <row r="850" spans="1:11" ht="31.9" customHeight="1" x14ac:dyDescent="0.25">
      <c r="A850" s="2">
        <v>2</v>
      </c>
      <c r="B850" s="162"/>
      <c r="C850" s="8" t="s">
        <v>1376</v>
      </c>
      <c r="D850" s="8" t="s">
        <v>132</v>
      </c>
      <c r="E850" s="8" t="s">
        <v>23</v>
      </c>
      <c r="F850" s="83">
        <v>4600000</v>
      </c>
      <c r="G850" s="16">
        <v>0</v>
      </c>
      <c r="H850" s="82">
        <v>2300000</v>
      </c>
      <c r="I850" s="82">
        <v>2300000</v>
      </c>
      <c r="J850" s="32">
        <v>0</v>
      </c>
      <c r="K850" s="10" t="s">
        <v>1377</v>
      </c>
    </row>
    <row r="851" spans="1:11" ht="31.9" customHeight="1" x14ac:dyDescent="0.25">
      <c r="A851" s="2">
        <v>3</v>
      </c>
      <c r="B851" s="163"/>
      <c r="C851" s="8" t="s">
        <v>1378</v>
      </c>
      <c r="D851" s="8" t="s">
        <v>1299</v>
      </c>
      <c r="E851" s="8" t="s">
        <v>23</v>
      </c>
      <c r="F851" s="82">
        <v>213744</v>
      </c>
      <c r="G851" s="16">
        <v>0</v>
      </c>
      <c r="H851" s="82">
        <v>106872</v>
      </c>
      <c r="I851" s="83">
        <v>106872</v>
      </c>
      <c r="J851" s="32">
        <v>0</v>
      </c>
      <c r="K851" s="10" t="s">
        <v>1242</v>
      </c>
    </row>
    <row r="852" spans="1:11" x14ac:dyDescent="0.25">
      <c r="A852" s="173" t="s">
        <v>20</v>
      </c>
      <c r="B852" s="173"/>
      <c r="C852" s="173"/>
      <c r="D852" s="173"/>
      <c r="E852" s="2"/>
      <c r="F852" s="82">
        <f>SUM(F849:F851)</f>
        <v>4853744</v>
      </c>
      <c r="G852" s="18">
        <f t="shared" ref="G852:I852" si="90">SUM(G849:G851)</f>
        <v>0</v>
      </c>
      <c r="H852" s="82">
        <f t="shared" si="90"/>
        <v>2406872</v>
      </c>
      <c r="I852" s="82">
        <f t="shared" si="90"/>
        <v>2446872</v>
      </c>
      <c r="J852" s="32">
        <v>0</v>
      </c>
      <c r="K852" s="78"/>
    </row>
    <row r="853" spans="1:11" ht="105" x14ac:dyDescent="0.25">
      <c r="A853" s="2">
        <v>1</v>
      </c>
      <c r="B853" s="2" t="s">
        <v>1379</v>
      </c>
      <c r="C853" s="8" t="s">
        <v>1380</v>
      </c>
      <c r="D853" s="8" t="s">
        <v>132</v>
      </c>
      <c r="E853" s="8" t="s">
        <v>23</v>
      </c>
      <c r="F853" s="75">
        <v>15768</v>
      </c>
      <c r="G853" s="16">
        <v>0</v>
      </c>
      <c r="H853" s="77">
        <v>7877.7</v>
      </c>
      <c r="I853" s="77">
        <v>7890.3</v>
      </c>
      <c r="J853" s="32">
        <v>0</v>
      </c>
      <c r="K853" s="10" t="s">
        <v>1297</v>
      </c>
    </row>
    <row r="854" spans="1:11" x14ac:dyDescent="0.25">
      <c r="A854" s="173" t="s">
        <v>1247</v>
      </c>
      <c r="B854" s="173"/>
      <c r="C854" s="173"/>
      <c r="D854" s="173"/>
      <c r="E854" s="2"/>
      <c r="F854" s="77">
        <f>SUM(F853:F853)</f>
        <v>15768</v>
      </c>
      <c r="G854" s="18">
        <f>SUM(G853:G853)</f>
        <v>0</v>
      </c>
      <c r="H854" s="77">
        <f>SUM(H853:H853)</f>
        <v>7877.7</v>
      </c>
      <c r="I854" s="77">
        <f>SUM(I853:I853)</f>
        <v>7890.3</v>
      </c>
      <c r="J854" s="32">
        <v>0</v>
      </c>
      <c r="K854" s="78"/>
    </row>
    <row r="855" spans="1:11" ht="75" x14ac:dyDescent="0.25">
      <c r="A855" s="2">
        <v>1</v>
      </c>
      <c r="B855" s="2" t="s">
        <v>1381</v>
      </c>
      <c r="C855" s="8" t="s">
        <v>1382</v>
      </c>
      <c r="D855" s="8" t="s">
        <v>132</v>
      </c>
      <c r="E855" s="8" t="s">
        <v>23</v>
      </c>
      <c r="F855" s="83">
        <v>4386000</v>
      </c>
      <c r="G855" s="18">
        <v>0</v>
      </c>
      <c r="H855" s="87">
        <v>2190</v>
      </c>
      <c r="I855" s="88">
        <v>2196</v>
      </c>
      <c r="J855" s="32">
        <v>0</v>
      </c>
      <c r="K855" s="10" t="s">
        <v>1279</v>
      </c>
    </row>
    <row r="856" spans="1:11" x14ac:dyDescent="0.25">
      <c r="A856" s="173" t="s">
        <v>1247</v>
      </c>
      <c r="B856" s="173"/>
      <c r="C856" s="173"/>
      <c r="D856" s="173"/>
      <c r="E856" s="2"/>
      <c r="F856" s="82">
        <v>4386000</v>
      </c>
      <c r="G856" s="18">
        <f>G855</f>
        <v>0</v>
      </c>
      <c r="H856" s="86">
        <v>2190</v>
      </c>
      <c r="I856" s="86">
        <f>I855</f>
        <v>2196</v>
      </c>
      <c r="J856" s="32">
        <v>0</v>
      </c>
      <c r="K856" s="78"/>
    </row>
    <row r="857" spans="1:11" ht="75" x14ac:dyDescent="0.25">
      <c r="A857" s="2">
        <v>1</v>
      </c>
      <c r="B857" s="2" t="s">
        <v>1381</v>
      </c>
      <c r="C857" s="8" t="s">
        <v>1383</v>
      </c>
      <c r="D857" s="8" t="s">
        <v>1384</v>
      </c>
      <c r="E857" s="8" t="s">
        <v>23</v>
      </c>
      <c r="F857" s="83">
        <v>109735</v>
      </c>
      <c r="G857" s="16">
        <v>0</v>
      </c>
      <c r="H857" s="83">
        <v>109735</v>
      </c>
      <c r="I857" s="79">
        <v>0</v>
      </c>
      <c r="J857" s="32">
        <v>0</v>
      </c>
      <c r="K857" s="10" t="s">
        <v>1385</v>
      </c>
    </row>
    <row r="858" spans="1:11" x14ac:dyDescent="0.25">
      <c r="A858" s="173" t="s">
        <v>20</v>
      </c>
      <c r="B858" s="173"/>
      <c r="C858" s="173"/>
      <c r="D858" s="173"/>
      <c r="E858" s="2"/>
      <c r="F858" s="82">
        <f>SUM(F857:F857)</f>
        <v>109735</v>
      </c>
      <c r="G858" s="18">
        <f>SUM(G857:G857)</f>
        <v>0</v>
      </c>
      <c r="H858" s="82">
        <f>SUM(H857:H857)</f>
        <v>109735</v>
      </c>
      <c r="I858" s="79">
        <f>SUM(I857:I857)</f>
        <v>0</v>
      </c>
      <c r="J858" s="32">
        <v>0</v>
      </c>
      <c r="K858" s="78"/>
    </row>
    <row r="859" spans="1:11" ht="75" x14ac:dyDescent="0.25">
      <c r="A859" s="2">
        <v>1</v>
      </c>
      <c r="B859" s="2" t="s">
        <v>1381</v>
      </c>
      <c r="C859" s="8" t="s">
        <v>1386</v>
      </c>
      <c r="D859" s="8" t="s">
        <v>1384</v>
      </c>
      <c r="E859" s="8" t="s">
        <v>23</v>
      </c>
      <c r="F859" s="83">
        <v>109735</v>
      </c>
      <c r="G859" s="16">
        <v>0</v>
      </c>
      <c r="H859" s="76">
        <v>0</v>
      </c>
      <c r="I859" s="83">
        <v>109735</v>
      </c>
      <c r="J859" s="32">
        <v>0</v>
      </c>
      <c r="K859" s="10" t="s">
        <v>1387</v>
      </c>
    </row>
    <row r="860" spans="1:11" x14ac:dyDescent="0.25">
      <c r="A860" s="173" t="s">
        <v>1252</v>
      </c>
      <c r="B860" s="173"/>
      <c r="C860" s="173"/>
      <c r="D860" s="173"/>
      <c r="E860" s="2"/>
      <c r="F860" s="82">
        <f>F859</f>
        <v>109735</v>
      </c>
      <c r="G860" s="18">
        <f t="shared" ref="G860:I860" si="91">G859</f>
        <v>0</v>
      </c>
      <c r="H860" s="79">
        <f t="shared" si="91"/>
        <v>0</v>
      </c>
      <c r="I860" s="82">
        <f t="shared" si="91"/>
        <v>109735</v>
      </c>
      <c r="J860" s="32">
        <v>0</v>
      </c>
      <c r="K860" s="78"/>
    </row>
    <row r="861" spans="1:11" ht="37.9" customHeight="1" x14ac:dyDescent="0.25">
      <c r="A861" s="2">
        <v>1</v>
      </c>
      <c r="B861" s="161" t="s">
        <v>1388</v>
      </c>
      <c r="C861" s="8" t="s">
        <v>1389</v>
      </c>
      <c r="D861" s="8" t="s">
        <v>1390</v>
      </c>
      <c r="E861" s="8" t="s">
        <v>23</v>
      </c>
      <c r="F861" s="83">
        <v>76386.48</v>
      </c>
      <c r="G861" s="83">
        <v>76386.48</v>
      </c>
      <c r="H861" s="79">
        <v>0</v>
      </c>
      <c r="I861" s="79">
        <v>0</v>
      </c>
      <c r="J861" s="32">
        <v>0</v>
      </c>
      <c r="K861" s="78">
        <v>46204</v>
      </c>
    </row>
    <row r="862" spans="1:11" ht="37.9" customHeight="1" x14ac:dyDescent="0.25">
      <c r="A862" s="2">
        <v>2</v>
      </c>
      <c r="B862" s="163"/>
      <c r="C862" s="8" t="s">
        <v>1391</v>
      </c>
      <c r="D862" s="8" t="s">
        <v>1392</v>
      </c>
      <c r="E862" s="8" t="s">
        <v>23</v>
      </c>
      <c r="F862" s="83">
        <v>224000.04</v>
      </c>
      <c r="G862" s="76">
        <v>0</v>
      </c>
      <c r="H862" s="82">
        <v>224000.04</v>
      </c>
      <c r="I862" s="79">
        <v>0</v>
      </c>
      <c r="J862" s="32">
        <v>0</v>
      </c>
      <c r="K862" s="78">
        <v>46204</v>
      </c>
    </row>
    <row r="863" spans="1:11" x14ac:dyDescent="0.25">
      <c r="A863" s="173" t="s">
        <v>1247</v>
      </c>
      <c r="B863" s="173"/>
      <c r="C863" s="173"/>
      <c r="D863" s="173"/>
      <c r="E863" s="2"/>
      <c r="F863" s="82">
        <f>SUM(F861:F862)</f>
        <v>300386.52</v>
      </c>
      <c r="G863" s="82">
        <f t="shared" ref="G863:I863" si="92">SUM(G861:G862)</f>
        <v>76386.48</v>
      </c>
      <c r="H863" s="82">
        <f t="shared" si="92"/>
        <v>224000.04</v>
      </c>
      <c r="I863" s="79">
        <f t="shared" si="92"/>
        <v>0</v>
      </c>
      <c r="J863" s="32">
        <v>0</v>
      </c>
      <c r="K863" s="78"/>
    </row>
    <row r="864" spans="1:11" ht="82.9" customHeight="1" x14ac:dyDescent="0.25">
      <c r="A864" s="2">
        <v>1</v>
      </c>
      <c r="B864" s="2" t="s">
        <v>1388</v>
      </c>
      <c r="C864" s="8" t="s">
        <v>1393</v>
      </c>
      <c r="D864" s="8" t="s">
        <v>383</v>
      </c>
      <c r="E864" s="8" t="s">
        <v>23</v>
      </c>
      <c r="F864" s="83">
        <v>50000</v>
      </c>
      <c r="G864" s="76">
        <v>0</v>
      </c>
      <c r="H864" s="83">
        <v>50000</v>
      </c>
      <c r="I864" s="79">
        <v>0</v>
      </c>
      <c r="J864" s="32">
        <v>0</v>
      </c>
      <c r="K864" s="78">
        <v>46447</v>
      </c>
    </row>
    <row r="865" spans="1:11" x14ac:dyDescent="0.25">
      <c r="A865" s="173" t="s">
        <v>20</v>
      </c>
      <c r="B865" s="173"/>
      <c r="C865" s="173"/>
      <c r="D865" s="173"/>
      <c r="E865" s="2"/>
      <c r="F865" s="82">
        <f>SUM(F864)</f>
        <v>50000</v>
      </c>
      <c r="G865" s="79">
        <f t="shared" ref="G865:I865" si="93">SUM(G864)</f>
        <v>0</v>
      </c>
      <c r="H865" s="82">
        <f t="shared" si="93"/>
        <v>50000</v>
      </c>
      <c r="I865" s="79">
        <f t="shared" si="93"/>
        <v>0</v>
      </c>
      <c r="J865" s="32">
        <v>0</v>
      </c>
      <c r="K865" s="78"/>
    </row>
    <row r="866" spans="1:11" ht="81" customHeight="1" x14ac:dyDescent="0.25">
      <c r="A866" s="2">
        <v>1</v>
      </c>
      <c r="B866" s="2" t="s">
        <v>1388</v>
      </c>
      <c r="C866" s="8" t="s">
        <v>1394</v>
      </c>
      <c r="D866" s="8" t="s">
        <v>383</v>
      </c>
      <c r="E866" s="8" t="s">
        <v>23</v>
      </c>
      <c r="F866" s="83">
        <v>50000</v>
      </c>
      <c r="G866" s="76">
        <v>0</v>
      </c>
      <c r="H866" s="79">
        <v>0</v>
      </c>
      <c r="I866" s="83">
        <v>50000</v>
      </c>
      <c r="J866" s="32">
        <v>0</v>
      </c>
      <c r="K866" s="78">
        <v>46813</v>
      </c>
    </row>
    <row r="867" spans="1:11" x14ac:dyDescent="0.25">
      <c r="A867" s="173" t="s">
        <v>1252</v>
      </c>
      <c r="B867" s="173"/>
      <c r="C867" s="173"/>
      <c r="D867" s="173"/>
      <c r="E867" s="2"/>
      <c r="F867" s="82">
        <f>SUM(F866)</f>
        <v>50000</v>
      </c>
      <c r="G867" s="79">
        <f t="shared" ref="G867:I867" si="94">SUM(G866)</f>
        <v>0</v>
      </c>
      <c r="H867" s="79">
        <f t="shared" si="94"/>
        <v>0</v>
      </c>
      <c r="I867" s="82">
        <f t="shared" si="94"/>
        <v>50000</v>
      </c>
      <c r="J867" s="32">
        <v>0</v>
      </c>
      <c r="K867" s="78"/>
    </row>
    <row r="868" spans="1:11" ht="32.450000000000003" customHeight="1" x14ac:dyDescent="0.25">
      <c r="A868" s="2">
        <v>1</v>
      </c>
      <c r="B868" s="161" t="s">
        <v>1395</v>
      </c>
      <c r="C868" s="8" t="s">
        <v>1396</v>
      </c>
      <c r="D868" s="8" t="s">
        <v>132</v>
      </c>
      <c r="E868" s="8" t="s">
        <v>23</v>
      </c>
      <c r="F868" s="83">
        <v>15350400</v>
      </c>
      <c r="G868" s="76">
        <v>0</v>
      </c>
      <c r="H868" s="82">
        <v>13687700</v>
      </c>
      <c r="I868" s="82">
        <v>1662700</v>
      </c>
      <c r="J868" s="32">
        <v>0</v>
      </c>
      <c r="K868" s="10" t="s">
        <v>1244</v>
      </c>
    </row>
    <row r="869" spans="1:11" ht="46.15" customHeight="1" x14ac:dyDescent="0.25">
      <c r="A869" s="2">
        <v>2</v>
      </c>
      <c r="B869" s="163"/>
      <c r="C869" s="8" t="s">
        <v>1397</v>
      </c>
      <c r="D869" s="8" t="s">
        <v>1398</v>
      </c>
      <c r="E869" s="8" t="s">
        <v>23</v>
      </c>
      <c r="F869" s="89">
        <v>4416000</v>
      </c>
      <c r="G869" s="89">
        <v>4416000</v>
      </c>
      <c r="H869" s="79">
        <v>0</v>
      </c>
      <c r="I869" s="79">
        <v>0</v>
      </c>
      <c r="J869" s="32">
        <v>0</v>
      </c>
      <c r="K869" s="10" t="s">
        <v>1242</v>
      </c>
    </row>
    <row r="870" spans="1:11" x14ac:dyDescent="0.25">
      <c r="A870" s="173" t="s">
        <v>1247</v>
      </c>
      <c r="B870" s="173"/>
      <c r="C870" s="173"/>
      <c r="D870" s="173"/>
      <c r="E870" s="2"/>
      <c r="F870" s="82">
        <f>SUM(F868:F869)</f>
        <v>19766400</v>
      </c>
      <c r="G870" s="82">
        <f>SUM(G868:G869)</f>
        <v>4416000</v>
      </c>
      <c r="H870" s="82">
        <f>SUM(H868:H869)</f>
        <v>13687700</v>
      </c>
      <c r="I870" s="82">
        <f>SUM(I868:I869)</f>
        <v>1662700</v>
      </c>
      <c r="J870" s="32">
        <v>0</v>
      </c>
      <c r="K870" s="78"/>
    </row>
    <row r="871" spans="1:11" ht="28.15" customHeight="1" x14ac:dyDescent="0.25">
      <c r="A871" s="2">
        <v>1</v>
      </c>
      <c r="B871" s="161" t="s">
        <v>1399</v>
      </c>
      <c r="C871" s="8" t="s">
        <v>1400</v>
      </c>
      <c r="D871" s="8" t="s">
        <v>132</v>
      </c>
      <c r="E871" s="8" t="s">
        <v>23</v>
      </c>
      <c r="F871" s="83">
        <v>3066000</v>
      </c>
      <c r="G871" s="76">
        <v>0</v>
      </c>
      <c r="H871" s="82">
        <v>3066000</v>
      </c>
      <c r="I871" s="79">
        <v>0</v>
      </c>
      <c r="J871" s="32">
        <v>0</v>
      </c>
      <c r="K871" s="78">
        <v>46204</v>
      </c>
    </row>
    <row r="872" spans="1:11" ht="28.15" customHeight="1" x14ac:dyDescent="0.25">
      <c r="A872" s="2">
        <v>2</v>
      </c>
      <c r="B872" s="162"/>
      <c r="C872" s="8" t="s">
        <v>1401</v>
      </c>
      <c r="D872" s="8" t="s">
        <v>1296</v>
      </c>
      <c r="E872" s="8" t="s">
        <v>23</v>
      </c>
      <c r="F872" s="83">
        <v>1533311.51</v>
      </c>
      <c r="G872" s="76">
        <v>0</v>
      </c>
      <c r="H872" s="82">
        <v>764500.17</v>
      </c>
      <c r="I872" s="82">
        <v>768811.34</v>
      </c>
      <c r="J872" s="32">
        <v>0</v>
      </c>
      <c r="K872" s="78">
        <v>46204</v>
      </c>
    </row>
    <row r="873" spans="1:11" ht="28.15" customHeight="1" x14ac:dyDescent="0.25">
      <c r="A873" s="2">
        <v>3</v>
      </c>
      <c r="B873" s="163"/>
      <c r="C873" s="8" t="s">
        <v>1402</v>
      </c>
      <c r="D873" s="8" t="s">
        <v>1403</v>
      </c>
      <c r="E873" s="8" t="s">
        <v>23</v>
      </c>
      <c r="F873" s="83">
        <v>4934870</v>
      </c>
      <c r="G873" s="83">
        <v>4934870</v>
      </c>
      <c r="H873" s="79">
        <v>0</v>
      </c>
      <c r="I873" s="79">
        <v>0</v>
      </c>
      <c r="J873" s="32">
        <v>0</v>
      </c>
      <c r="K873" s="78">
        <v>46054</v>
      </c>
    </row>
    <row r="874" spans="1:11" x14ac:dyDescent="0.25">
      <c r="A874" s="173" t="s">
        <v>1247</v>
      </c>
      <c r="B874" s="173"/>
      <c r="C874" s="173"/>
      <c r="D874" s="173"/>
      <c r="E874" s="2"/>
      <c r="F874" s="82">
        <f>SUM(F871:F873)</f>
        <v>9534181.5099999998</v>
      </c>
      <c r="G874" s="82">
        <f>SUM(G871:G873)</f>
        <v>4934870</v>
      </c>
      <c r="H874" s="82">
        <f>SUM(H871:H873)</f>
        <v>3830500.17</v>
      </c>
      <c r="I874" s="82">
        <f>SUM(I871:I873)</f>
        <v>768811.34</v>
      </c>
      <c r="J874" s="32">
        <v>0</v>
      </c>
      <c r="K874" s="78"/>
    </row>
    <row r="875" spans="1:11" ht="43.15" customHeight="1" x14ac:dyDescent="0.25">
      <c r="A875" s="2">
        <v>1</v>
      </c>
      <c r="B875" s="161" t="s">
        <v>1404</v>
      </c>
      <c r="C875" s="8" t="s">
        <v>1412</v>
      </c>
      <c r="D875" s="8" t="s">
        <v>1407</v>
      </c>
      <c r="E875" s="8" t="s">
        <v>36</v>
      </c>
      <c r="F875" s="83">
        <v>9722020</v>
      </c>
      <c r="G875" s="83">
        <v>9722020</v>
      </c>
      <c r="H875" s="79">
        <v>0</v>
      </c>
      <c r="I875" s="79">
        <v>0</v>
      </c>
      <c r="J875" s="32">
        <v>0</v>
      </c>
      <c r="K875" s="10" t="s">
        <v>1293</v>
      </c>
    </row>
    <row r="876" spans="1:11" ht="43.15" customHeight="1" x14ac:dyDescent="0.25">
      <c r="A876" s="2">
        <v>2</v>
      </c>
      <c r="B876" s="162"/>
      <c r="C876" s="8" t="s">
        <v>1413</v>
      </c>
      <c r="D876" s="8" t="s">
        <v>1407</v>
      </c>
      <c r="E876" s="8" t="s">
        <v>36</v>
      </c>
      <c r="F876" s="83">
        <v>9722020</v>
      </c>
      <c r="G876" s="83">
        <v>9722020</v>
      </c>
      <c r="H876" s="79">
        <v>0</v>
      </c>
      <c r="I876" s="79">
        <v>0</v>
      </c>
      <c r="J876" s="32">
        <v>0</v>
      </c>
      <c r="K876" s="10" t="s">
        <v>1293</v>
      </c>
    </row>
    <row r="877" spans="1:11" ht="43.15" customHeight="1" x14ac:dyDescent="0.25">
      <c r="A877" s="2">
        <v>3</v>
      </c>
      <c r="B877" s="162"/>
      <c r="C877" s="8" t="s">
        <v>1414</v>
      </c>
      <c r="D877" s="8" t="s">
        <v>1409</v>
      </c>
      <c r="E877" s="8" t="s">
        <v>36</v>
      </c>
      <c r="F877" s="83">
        <v>9811384</v>
      </c>
      <c r="G877" s="83">
        <v>9811384</v>
      </c>
      <c r="H877" s="79">
        <v>0</v>
      </c>
      <c r="I877" s="79">
        <v>0</v>
      </c>
      <c r="J877" s="32">
        <v>0</v>
      </c>
      <c r="K877" s="10" t="s">
        <v>1293</v>
      </c>
    </row>
    <row r="878" spans="1:11" ht="43.15" customHeight="1" x14ac:dyDescent="0.25">
      <c r="A878" s="2">
        <v>4</v>
      </c>
      <c r="B878" s="162"/>
      <c r="C878" s="8" t="s">
        <v>1415</v>
      </c>
      <c r="D878" s="8" t="s">
        <v>1409</v>
      </c>
      <c r="E878" s="8" t="s">
        <v>36</v>
      </c>
      <c r="F878" s="82">
        <v>9811384</v>
      </c>
      <c r="G878" s="82">
        <v>9811384</v>
      </c>
      <c r="H878" s="79">
        <v>0</v>
      </c>
      <c r="I878" s="79">
        <v>0</v>
      </c>
      <c r="J878" s="32">
        <v>0</v>
      </c>
      <c r="K878" s="10" t="s">
        <v>1293</v>
      </c>
    </row>
    <row r="879" spans="1:11" ht="43.15" customHeight="1" x14ac:dyDescent="0.25">
      <c r="A879" s="2">
        <v>5</v>
      </c>
      <c r="B879" s="162"/>
      <c r="C879" s="8" t="s">
        <v>1416</v>
      </c>
      <c r="D879" s="8" t="s">
        <v>1417</v>
      </c>
      <c r="E879" s="8" t="s">
        <v>36</v>
      </c>
      <c r="F879" s="83">
        <v>9337972</v>
      </c>
      <c r="G879" s="83">
        <v>9337972</v>
      </c>
      <c r="H879" s="79">
        <v>0</v>
      </c>
      <c r="I879" s="79">
        <v>0</v>
      </c>
      <c r="J879" s="32">
        <v>0</v>
      </c>
      <c r="K879" s="10" t="s">
        <v>1293</v>
      </c>
    </row>
    <row r="880" spans="1:11" ht="43.15" customHeight="1" x14ac:dyDescent="0.25">
      <c r="A880" s="2">
        <v>6</v>
      </c>
      <c r="B880" s="162"/>
      <c r="C880" s="8" t="s">
        <v>1418</v>
      </c>
      <c r="D880" s="8" t="s">
        <v>1417</v>
      </c>
      <c r="E880" s="8" t="s">
        <v>36</v>
      </c>
      <c r="F880" s="83">
        <v>9337972</v>
      </c>
      <c r="G880" s="83">
        <v>9337972</v>
      </c>
      <c r="H880" s="79">
        <v>0</v>
      </c>
      <c r="I880" s="79">
        <v>0</v>
      </c>
      <c r="J880" s="32">
        <v>0</v>
      </c>
      <c r="K880" s="10" t="s">
        <v>1293</v>
      </c>
    </row>
    <row r="881" spans="1:11" ht="43.15" customHeight="1" x14ac:dyDescent="0.25">
      <c r="A881" s="2">
        <v>7</v>
      </c>
      <c r="B881" s="162"/>
      <c r="C881" s="8" t="s">
        <v>1419</v>
      </c>
      <c r="D881" s="8" t="s">
        <v>1406</v>
      </c>
      <c r="E881" s="8" t="s">
        <v>36</v>
      </c>
      <c r="F881" s="83">
        <v>6153780.9199999999</v>
      </c>
      <c r="G881" s="83">
        <v>6153780.9199999999</v>
      </c>
      <c r="H881" s="79">
        <v>0</v>
      </c>
      <c r="I881" s="79">
        <v>0</v>
      </c>
      <c r="J881" s="32">
        <v>0</v>
      </c>
      <c r="K881" s="10" t="s">
        <v>1293</v>
      </c>
    </row>
    <row r="882" spans="1:11" ht="42" customHeight="1" x14ac:dyDescent="0.25">
      <c r="A882" s="2">
        <v>8</v>
      </c>
      <c r="B882" s="162"/>
      <c r="C882" s="8" t="s">
        <v>1420</v>
      </c>
      <c r="D882" s="8" t="s">
        <v>1406</v>
      </c>
      <c r="E882" s="8" t="s">
        <v>36</v>
      </c>
      <c r="F882" s="83">
        <v>5661344.9199999999</v>
      </c>
      <c r="G882" s="83">
        <v>5661344.9199999999</v>
      </c>
      <c r="H882" s="79">
        <v>0</v>
      </c>
      <c r="I882" s="79">
        <v>0</v>
      </c>
      <c r="J882" s="32">
        <v>0</v>
      </c>
      <c r="K882" s="10" t="s">
        <v>1293</v>
      </c>
    </row>
    <row r="883" spans="1:11" ht="61.15" customHeight="1" x14ac:dyDescent="0.25">
      <c r="A883" s="2">
        <v>9</v>
      </c>
      <c r="B883" s="163"/>
      <c r="C883" s="8" t="s">
        <v>1421</v>
      </c>
      <c r="D883" s="8" t="s">
        <v>1408</v>
      </c>
      <c r="E883" s="8" t="s">
        <v>36</v>
      </c>
      <c r="F883" s="83">
        <v>7077078</v>
      </c>
      <c r="G883" s="83">
        <v>7077078</v>
      </c>
      <c r="H883" s="79">
        <v>0</v>
      </c>
      <c r="I883" s="79">
        <v>0</v>
      </c>
      <c r="J883" s="32">
        <v>0</v>
      </c>
      <c r="K883" s="10" t="s">
        <v>1293</v>
      </c>
    </row>
    <row r="884" spans="1:11" x14ac:dyDescent="0.25">
      <c r="A884" s="173" t="s">
        <v>1247</v>
      </c>
      <c r="B884" s="173"/>
      <c r="C884" s="173"/>
      <c r="D884" s="173"/>
      <c r="E884" s="2"/>
      <c r="F884" s="82">
        <f>SUM(F875:F883)</f>
        <v>76634955.840000004</v>
      </c>
      <c r="G884" s="82">
        <f>SUM(G875:G883)</f>
        <v>76634955.840000004</v>
      </c>
      <c r="H884" s="79">
        <f>SUM(H875:H883)</f>
        <v>0</v>
      </c>
      <c r="I884" s="79">
        <f>SUM(I875:I883)</f>
        <v>0</v>
      </c>
      <c r="J884" s="32">
        <v>0</v>
      </c>
      <c r="K884" s="78"/>
    </row>
    <row r="885" spans="1:11" ht="39.6" customHeight="1" x14ac:dyDescent="0.25">
      <c r="A885" s="2">
        <v>1</v>
      </c>
      <c r="B885" s="161" t="s">
        <v>1404</v>
      </c>
      <c r="C885" s="10" t="s">
        <v>1422</v>
      </c>
      <c r="D885" s="10" t="s">
        <v>1405</v>
      </c>
      <c r="E885" s="8" t="s">
        <v>26</v>
      </c>
      <c r="F885" s="82">
        <v>8353290</v>
      </c>
      <c r="G885" s="79">
        <v>0</v>
      </c>
      <c r="H885" s="82">
        <v>8353290</v>
      </c>
      <c r="I885" s="79">
        <v>0</v>
      </c>
      <c r="J885" s="32">
        <v>0</v>
      </c>
      <c r="K885" s="10" t="s">
        <v>1249</v>
      </c>
    </row>
    <row r="886" spans="1:11" ht="43.15" customHeight="1" x14ac:dyDescent="0.25">
      <c r="A886" s="2">
        <v>2</v>
      </c>
      <c r="B886" s="162"/>
      <c r="C886" s="10" t="s">
        <v>1410</v>
      </c>
      <c r="D886" s="10" t="s">
        <v>1411</v>
      </c>
      <c r="E886" s="8" t="s">
        <v>23</v>
      </c>
      <c r="F886" s="82">
        <v>12291938.93</v>
      </c>
      <c r="G886" s="79">
        <v>0</v>
      </c>
      <c r="H886" s="82">
        <v>12291938.93</v>
      </c>
      <c r="I886" s="79">
        <v>0</v>
      </c>
      <c r="J886" s="32">
        <v>0</v>
      </c>
      <c r="K886" s="10" t="s">
        <v>1249</v>
      </c>
    </row>
    <row r="887" spans="1:11" ht="34.15" customHeight="1" x14ac:dyDescent="0.25">
      <c r="A887" s="2">
        <v>3</v>
      </c>
      <c r="B887" s="163"/>
      <c r="C887" s="10" t="s">
        <v>1423</v>
      </c>
      <c r="D887" s="10" t="s">
        <v>1424</v>
      </c>
      <c r="E887" s="8" t="s">
        <v>26</v>
      </c>
      <c r="F887" s="82">
        <v>249456000</v>
      </c>
      <c r="G887" s="79">
        <v>0</v>
      </c>
      <c r="H887" s="82">
        <v>249456000</v>
      </c>
      <c r="I887" s="79">
        <v>0</v>
      </c>
      <c r="J887" s="32">
        <v>0</v>
      </c>
      <c r="K887" s="10" t="s">
        <v>1249</v>
      </c>
    </row>
    <row r="888" spans="1:11" x14ac:dyDescent="0.25">
      <c r="A888" s="173" t="s">
        <v>20</v>
      </c>
      <c r="B888" s="173"/>
      <c r="C888" s="173"/>
      <c r="D888" s="173"/>
      <c r="E888" s="2"/>
      <c r="F888" s="82">
        <f>SUM(F885:F887)</f>
        <v>270101228.93000001</v>
      </c>
      <c r="G888" s="79">
        <f>SUM(G885:G887)</f>
        <v>0</v>
      </c>
      <c r="H888" s="82">
        <f>SUM(H885:H887)</f>
        <v>270101228.93000001</v>
      </c>
      <c r="I888" s="79">
        <f>SUM(I885:I887)</f>
        <v>0</v>
      </c>
      <c r="J888" s="32">
        <v>0</v>
      </c>
      <c r="K888" s="78"/>
    </row>
    <row r="889" spans="1:11" ht="34.15" customHeight="1" x14ac:dyDescent="0.25">
      <c r="A889" s="2">
        <v>1</v>
      </c>
      <c r="B889" s="161" t="s">
        <v>1404</v>
      </c>
      <c r="C889" s="10" t="s">
        <v>1425</v>
      </c>
      <c r="D889" s="10" t="s">
        <v>1405</v>
      </c>
      <c r="E889" s="8" t="s">
        <v>26</v>
      </c>
      <c r="F889" s="82">
        <v>8353290</v>
      </c>
      <c r="G889" s="79">
        <v>0</v>
      </c>
      <c r="H889" s="79">
        <v>0</v>
      </c>
      <c r="I889" s="82">
        <v>8353290</v>
      </c>
      <c r="J889" s="32">
        <v>0</v>
      </c>
      <c r="K889" s="10" t="s">
        <v>1251</v>
      </c>
    </row>
    <row r="890" spans="1:11" ht="40.9" customHeight="1" x14ac:dyDescent="0.25">
      <c r="A890" s="2">
        <v>2</v>
      </c>
      <c r="B890" s="162"/>
      <c r="C890" s="10" t="s">
        <v>1426</v>
      </c>
      <c r="D890" s="10" t="s">
        <v>1411</v>
      </c>
      <c r="E890" s="8" t="s">
        <v>23</v>
      </c>
      <c r="F890" s="82">
        <v>12291938.93</v>
      </c>
      <c r="G890" s="79">
        <v>0</v>
      </c>
      <c r="H890" s="79">
        <v>0</v>
      </c>
      <c r="I890" s="82">
        <v>12291938.93</v>
      </c>
      <c r="J890" s="32">
        <v>0</v>
      </c>
      <c r="K890" s="10" t="s">
        <v>1251</v>
      </c>
    </row>
    <row r="891" spans="1:11" ht="37.9" customHeight="1" x14ac:dyDescent="0.25">
      <c r="A891" s="2">
        <v>3</v>
      </c>
      <c r="B891" s="163"/>
      <c r="C891" s="10" t="s">
        <v>1427</v>
      </c>
      <c r="D891" s="10" t="s">
        <v>1424</v>
      </c>
      <c r="E891" s="8" t="s">
        <v>26</v>
      </c>
      <c r="F891" s="82">
        <v>249456000</v>
      </c>
      <c r="G891" s="79">
        <v>0</v>
      </c>
      <c r="H891" s="79">
        <v>0</v>
      </c>
      <c r="I891" s="82">
        <v>249456000</v>
      </c>
      <c r="J891" s="32">
        <v>0</v>
      </c>
      <c r="K891" s="10" t="s">
        <v>1251</v>
      </c>
    </row>
    <row r="892" spans="1:11" x14ac:dyDescent="0.25">
      <c r="A892" s="173" t="s">
        <v>1252</v>
      </c>
      <c r="B892" s="173"/>
      <c r="C892" s="173"/>
      <c r="D892" s="173"/>
      <c r="E892" s="2"/>
      <c r="F892" s="82">
        <f>SUM(F889:F891)</f>
        <v>270101228.93000001</v>
      </c>
      <c r="G892" s="79">
        <f>SUM(G889:G891)</f>
        <v>0</v>
      </c>
      <c r="H892" s="79">
        <f>SUM(H889:H891)</f>
        <v>0</v>
      </c>
      <c r="I892" s="82">
        <f>SUM(I889:I891)</f>
        <v>270101228.93000001</v>
      </c>
      <c r="J892" s="32">
        <v>0</v>
      </c>
      <c r="K892" s="78"/>
    </row>
    <row r="893" spans="1:11" ht="27.6" customHeight="1" x14ac:dyDescent="0.25">
      <c r="A893" s="2">
        <v>1</v>
      </c>
      <c r="B893" s="161" t="s">
        <v>1430</v>
      </c>
      <c r="C893" s="90" t="s">
        <v>1431</v>
      </c>
      <c r="D893" s="10" t="s">
        <v>1432</v>
      </c>
      <c r="E893" s="2" t="s">
        <v>23</v>
      </c>
      <c r="F893" s="17">
        <f>721252/1000</f>
        <v>721.25199999999995</v>
      </c>
      <c r="G893" s="18">
        <v>0</v>
      </c>
      <c r="H893" s="17">
        <f>721252/1000</f>
        <v>721.25199999999995</v>
      </c>
      <c r="I893" s="18">
        <v>0</v>
      </c>
      <c r="J893" s="32">
        <v>0</v>
      </c>
      <c r="K893" s="91" t="s">
        <v>418</v>
      </c>
    </row>
    <row r="894" spans="1:11" ht="27.6" customHeight="1" x14ac:dyDescent="0.25">
      <c r="A894" s="2">
        <v>2</v>
      </c>
      <c r="B894" s="162"/>
      <c r="C894" s="92" t="s">
        <v>1433</v>
      </c>
      <c r="D894" s="10" t="s">
        <v>1434</v>
      </c>
      <c r="E894" s="2" t="s">
        <v>23</v>
      </c>
      <c r="F894" s="17">
        <f>4592500/1000</f>
        <v>4592.5</v>
      </c>
      <c r="G894" s="18">
        <v>0</v>
      </c>
      <c r="H894" s="17">
        <f>4592500/1000</f>
        <v>4592.5</v>
      </c>
      <c r="I894" s="18">
        <v>0</v>
      </c>
      <c r="J894" s="32">
        <v>0</v>
      </c>
      <c r="K894" s="90" t="s">
        <v>1084</v>
      </c>
    </row>
    <row r="895" spans="1:11" ht="27.6" customHeight="1" x14ac:dyDescent="0.25">
      <c r="A895" s="2">
        <v>3</v>
      </c>
      <c r="B895" s="162"/>
      <c r="C895" s="92" t="s">
        <v>1435</v>
      </c>
      <c r="D895" s="10" t="s">
        <v>1436</v>
      </c>
      <c r="E895" s="2" t="s">
        <v>23</v>
      </c>
      <c r="F895" s="17">
        <f>2207700/1000</f>
        <v>2207.6999999999998</v>
      </c>
      <c r="G895" s="18">
        <v>0</v>
      </c>
      <c r="H895" s="17">
        <f>2207700/1000</f>
        <v>2207.6999999999998</v>
      </c>
      <c r="I895" s="18">
        <v>0</v>
      </c>
      <c r="J895" s="32">
        <v>0</v>
      </c>
      <c r="K895" s="90" t="s">
        <v>1084</v>
      </c>
    </row>
    <row r="896" spans="1:11" ht="27.6" customHeight="1" x14ac:dyDescent="0.25">
      <c r="A896" s="2">
        <v>4</v>
      </c>
      <c r="B896" s="162"/>
      <c r="C896" s="92" t="s">
        <v>1437</v>
      </c>
      <c r="D896" s="10" t="s">
        <v>1434</v>
      </c>
      <c r="E896" s="2" t="s">
        <v>23</v>
      </c>
      <c r="F896" s="17">
        <f>6581400/1000</f>
        <v>6581.4</v>
      </c>
      <c r="G896" s="18">
        <v>0</v>
      </c>
      <c r="H896" s="17">
        <f>6581400/1000</f>
        <v>6581.4</v>
      </c>
      <c r="I896" s="18">
        <v>0</v>
      </c>
      <c r="J896" s="32">
        <v>0</v>
      </c>
      <c r="K896" s="90" t="s">
        <v>1084</v>
      </c>
    </row>
    <row r="897" spans="1:11" ht="27.6" customHeight="1" x14ac:dyDescent="0.25">
      <c r="A897" s="2">
        <v>5</v>
      </c>
      <c r="B897" s="162"/>
      <c r="C897" s="92" t="s">
        <v>1438</v>
      </c>
      <c r="D897" s="10" t="s">
        <v>1439</v>
      </c>
      <c r="E897" s="2" t="s">
        <v>23</v>
      </c>
      <c r="F897" s="17">
        <f>857310/1000</f>
        <v>857.31</v>
      </c>
      <c r="G897" s="18">
        <v>0</v>
      </c>
      <c r="H897" s="17">
        <f>857310/1000</f>
        <v>857.31</v>
      </c>
      <c r="I897" s="18">
        <v>0</v>
      </c>
      <c r="J897" s="32">
        <v>0</v>
      </c>
      <c r="K897" s="90" t="s">
        <v>1084</v>
      </c>
    </row>
    <row r="898" spans="1:11" ht="27.6" customHeight="1" x14ac:dyDescent="0.25">
      <c r="A898" s="2">
        <v>6</v>
      </c>
      <c r="B898" s="162"/>
      <c r="C898" s="92" t="s">
        <v>1440</v>
      </c>
      <c r="D898" s="10" t="s">
        <v>1434</v>
      </c>
      <c r="E898" s="2" t="s">
        <v>23</v>
      </c>
      <c r="F898" s="17">
        <f>2577400/1000</f>
        <v>2577.4</v>
      </c>
      <c r="G898" s="18">
        <v>0</v>
      </c>
      <c r="H898" s="17">
        <f>2577400/1000</f>
        <v>2577.4</v>
      </c>
      <c r="I898" s="18">
        <v>0</v>
      </c>
      <c r="J898" s="32">
        <v>0</v>
      </c>
      <c r="K898" s="90" t="s">
        <v>1084</v>
      </c>
    </row>
    <row r="899" spans="1:11" ht="27.6" customHeight="1" x14ac:dyDescent="0.25">
      <c r="A899" s="2">
        <v>7</v>
      </c>
      <c r="B899" s="163"/>
      <c r="C899" s="92" t="s">
        <v>1441</v>
      </c>
      <c r="D899" s="10" t="s">
        <v>1442</v>
      </c>
      <c r="E899" s="2" t="s">
        <v>23</v>
      </c>
      <c r="F899" s="17">
        <f>1096710/1000</f>
        <v>1096.71</v>
      </c>
      <c r="G899" s="18">
        <v>0</v>
      </c>
      <c r="H899" s="17">
        <f>1096710/1000</f>
        <v>1096.71</v>
      </c>
      <c r="I899" s="18">
        <v>0</v>
      </c>
      <c r="J899" s="32">
        <v>0</v>
      </c>
      <c r="K899" s="90" t="s">
        <v>1084</v>
      </c>
    </row>
    <row r="900" spans="1:11" ht="18.600000000000001" customHeight="1" x14ac:dyDescent="0.25">
      <c r="A900" s="93"/>
      <c r="B900" s="94" t="s">
        <v>1443</v>
      </c>
      <c r="C900" s="93"/>
      <c r="D900" s="93"/>
      <c r="E900" s="2"/>
      <c r="F900" s="95">
        <f>SUM(F893:F899)</f>
        <v>18634.271999999997</v>
      </c>
      <c r="G900" s="18">
        <f>SUM(G893:G899)</f>
        <v>0</v>
      </c>
      <c r="H900" s="95">
        <f>SUM(H893:H899)</f>
        <v>18634.271999999997</v>
      </c>
      <c r="I900" s="18">
        <f>SUM(I893:I899)</f>
        <v>0</v>
      </c>
      <c r="J900" s="32">
        <v>0</v>
      </c>
      <c r="K900" s="78"/>
    </row>
    <row r="901" spans="1:11" ht="26.45" customHeight="1" x14ac:dyDescent="0.25">
      <c r="A901" s="93">
        <v>1</v>
      </c>
      <c r="B901" s="161" t="s">
        <v>1444</v>
      </c>
      <c r="C901" s="90" t="s">
        <v>1445</v>
      </c>
      <c r="D901" s="2" t="s">
        <v>1446</v>
      </c>
      <c r="E901" s="2" t="s">
        <v>23</v>
      </c>
      <c r="F901" s="17">
        <f>1255100/1000</f>
        <v>1255.0999999999999</v>
      </c>
      <c r="G901" s="18">
        <v>0</v>
      </c>
      <c r="H901" s="17">
        <f>1255100/1000</f>
        <v>1255.0999999999999</v>
      </c>
      <c r="I901" s="18">
        <v>0</v>
      </c>
      <c r="J901" s="32">
        <v>0</v>
      </c>
      <c r="K901" s="91" t="s">
        <v>1084</v>
      </c>
    </row>
    <row r="902" spans="1:11" ht="26.45" customHeight="1" x14ac:dyDescent="0.25">
      <c r="A902" s="93">
        <v>2</v>
      </c>
      <c r="B902" s="162"/>
      <c r="C902" s="92" t="s">
        <v>1447</v>
      </c>
      <c r="D902" s="10" t="s">
        <v>1434</v>
      </c>
      <c r="E902" s="2" t="s">
        <v>23</v>
      </c>
      <c r="F902" s="17">
        <f>2668600/1000</f>
        <v>2668.6</v>
      </c>
      <c r="G902" s="18">
        <v>0</v>
      </c>
      <c r="H902" s="17">
        <f>2668600/1000</f>
        <v>2668.6</v>
      </c>
      <c r="I902" s="18">
        <v>0</v>
      </c>
      <c r="J902" s="32">
        <v>0</v>
      </c>
      <c r="K902" s="91" t="s">
        <v>1084</v>
      </c>
    </row>
    <row r="903" spans="1:11" ht="26.45" customHeight="1" x14ac:dyDescent="0.25">
      <c r="A903" s="93">
        <v>3</v>
      </c>
      <c r="B903" s="162"/>
      <c r="C903" s="92" t="s">
        <v>1448</v>
      </c>
      <c r="D903" s="10" t="s">
        <v>1436</v>
      </c>
      <c r="E903" s="2" t="s">
        <v>23</v>
      </c>
      <c r="F903" s="17">
        <f>799920/1000</f>
        <v>799.92</v>
      </c>
      <c r="G903" s="18">
        <v>0</v>
      </c>
      <c r="H903" s="17">
        <f>799920/1000</f>
        <v>799.92</v>
      </c>
      <c r="I903" s="18">
        <v>0</v>
      </c>
      <c r="J903" s="32">
        <v>0</v>
      </c>
      <c r="K903" s="91" t="s">
        <v>1084</v>
      </c>
    </row>
    <row r="904" spans="1:11" ht="26.45" customHeight="1" x14ac:dyDescent="0.25">
      <c r="A904" s="93">
        <v>4</v>
      </c>
      <c r="B904" s="162"/>
      <c r="C904" s="92" t="s">
        <v>1449</v>
      </c>
      <c r="D904" s="10" t="s">
        <v>1434</v>
      </c>
      <c r="E904" s="2" t="s">
        <v>23</v>
      </c>
      <c r="F904" s="17">
        <f>1119360/1000</f>
        <v>1119.3599999999999</v>
      </c>
      <c r="G904" s="18">
        <v>0</v>
      </c>
      <c r="H904" s="17">
        <f>1119360/1000</f>
        <v>1119.3599999999999</v>
      </c>
      <c r="I904" s="18">
        <v>0</v>
      </c>
      <c r="J904" s="32">
        <v>0</v>
      </c>
      <c r="K904" s="91" t="s">
        <v>1084</v>
      </c>
    </row>
    <row r="905" spans="1:11" ht="26.45" customHeight="1" x14ac:dyDescent="0.25">
      <c r="A905" s="93">
        <v>5</v>
      </c>
      <c r="B905" s="162"/>
      <c r="C905" s="92" t="s">
        <v>1450</v>
      </c>
      <c r="D905" s="10" t="s">
        <v>132</v>
      </c>
      <c r="E905" s="2" t="s">
        <v>23</v>
      </c>
      <c r="F905" s="17">
        <f>4608000/1000</f>
        <v>4608</v>
      </c>
      <c r="G905" s="17">
        <f>236500/1000</f>
        <v>236.5</v>
      </c>
      <c r="H905" s="17">
        <f>4371500/1000</f>
        <v>4371.5</v>
      </c>
      <c r="I905" s="18">
        <v>0</v>
      </c>
      <c r="J905" s="32">
        <v>0</v>
      </c>
      <c r="K905" s="91" t="s">
        <v>1451</v>
      </c>
    </row>
    <row r="906" spans="1:11" ht="26.45" customHeight="1" x14ac:dyDescent="0.25">
      <c r="A906" s="93">
        <v>6</v>
      </c>
      <c r="B906" s="163"/>
      <c r="C906" s="92" t="s">
        <v>1452</v>
      </c>
      <c r="D906" s="10" t="s">
        <v>1453</v>
      </c>
      <c r="E906" s="2" t="s">
        <v>23</v>
      </c>
      <c r="F906" s="17">
        <f>3125160/1000</f>
        <v>3125.16</v>
      </c>
      <c r="G906" s="17">
        <f>792240/1000</f>
        <v>792.24</v>
      </c>
      <c r="H906" s="17">
        <f>2332920/1000</f>
        <v>2332.92</v>
      </c>
      <c r="I906" s="18">
        <v>0</v>
      </c>
      <c r="J906" s="32">
        <v>0</v>
      </c>
      <c r="K906" s="91" t="s">
        <v>1084</v>
      </c>
    </row>
    <row r="907" spans="1:11" x14ac:dyDescent="0.25">
      <c r="A907" s="160" t="s">
        <v>1443</v>
      </c>
      <c r="B907" s="160"/>
      <c r="C907" s="160"/>
      <c r="D907" s="2"/>
      <c r="E907" s="55"/>
      <c r="F907" s="96">
        <f>SUM(F901:F906)</f>
        <v>13576.14</v>
      </c>
      <c r="G907" s="96">
        <f>SUM(G901:G906)</f>
        <v>1028.74</v>
      </c>
      <c r="H907" s="96">
        <f>SUM(H901:H906)</f>
        <v>12547.4</v>
      </c>
      <c r="I907" s="97">
        <f>SUM(I905:I906)</f>
        <v>0</v>
      </c>
      <c r="J907" s="32">
        <v>0</v>
      </c>
      <c r="K907" s="20"/>
    </row>
    <row r="908" spans="1:11" ht="67.900000000000006" customHeight="1" x14ac:dyDescent="0.25">
      <c r="A908" s="2">
        <v>1</v>
      </c>
      <c r="B908" s="2" t="s">
        <v>1444</v>
      </c>
      <c r="C908" s="90" t="s">
        <v>1454</v>
      </c>
      <c r="D908" s="10" t="s">
        <v>1428</v>
      </c>
      <c r="E908" s="2" t="s">
        <v>23</v>
      </c>
      <c r="F908" s="17">
        <f>233134/1000</f>
        <v>233.13399999999999</v>
      </c>
      <c r="G908" s="18">
        <v>0</v>
      </c>
      <c r="H908" s="17">
        <f>233134/1000</f>
        <v>233.13399999999999</v>
      </c>
      <c r="I908" s="18">
        <v>0</v>
      </c>
      <c r="J908" s="32">
        <v>0</v>
      </c>
      <c r="K908" s="90" t="s">
        <v>284</v>
      </c>
    </row>
    <row r="909" spans="1:11" ht="33" customHeight="1" x14ac:dyDescent="0.25">
      <c r="A909" s="160" t="s">
        <v>20</v>
      </c>
      <c r="B909" s="160"/>
      <c r="C909" s="160"/>
      <c r="D909" s="2"/>
      <c r="E909" s="55"/>
      <c r="F909" s="96">
        <f>SUM(F908)</f>
        <v>233.13399999999999</v>
      </c>
      <c r="G909" s="97">
        <f t="shared" ref="G909:H909" si="95">SUM(G908)</f>
        <v>0</v>
      </c>
      <c r="H909" s="96">
        <f t="shared" si="95"/>
        <v>233.13399999999999</v>
      </c>
      <c r="I909" s="97">
        <f>SUM(I908:I908)</f>
        <v>0</v>
      </c>
      <c r="J909" s="32">
        <v>0</v>
      </c>
      <c r="K909" s="2"/>
    </row>
    <row r="910" spans="1:11" ht="60.6" customHeight="1" x14ac:dyDescent="0.25">
      <c r="A910" s="2">
        <v>1</v>
      </c>
      <c r="B910" s="2" t="s">
        <v>1444</v>
      </c>
      <c r="C910" s="92" t="s">
        <v>1455</v>
      </c>
      <c r="D910" s="10" t="s">
        <v>1428</v>
      </c>
      <c r="E910" s="2" t="s">
        <v>23</v>
      </c>
      <c r="F910" s="17">
        <f>233134/1000</f>
        <v>233.13399999999999</v>
      </c>
      <c r="G910" s="18">
        <v>0</v>
      </c>
      <c r="H910" s="18">
        <v>0</v>
      </c>
      <c r="I910" s="17">
        <f>233134/1000</f>
        <v>233.13399999999999</v>
      </c>
      <c r="J910" s="32">
        <v>0</v>
      </c>
      <c r="K910" s="90" t="s">
        <v>291</v>
      </c>
    </row>
    <row r="911" spans="1:11" x14ac:dyDescent="0.25">
      <c r="A911" s="160" t="s">
        <v>21</v>
      </c>
      <c r="B911" s="160"/>
      <c r="C911" s="160"/>
      <c r="D911" s="20"/>
      <c r="E911" s="55"/>
      <c r="F911" s="96">
        <f>SUM(F910)</f>
        <v>233.13399999999999</v>
      </c>
      <c r="G911" s="97">
        <f t="shared" ref="G911:H911" si="96">SUM(G910)</f>
        <v>0</v>
      </c>
      <c r="H911" s="97">
        <f t="shared" si="96"/>
        <v>0</v>
      </c>
      <c r="I911" s="96">
        <f>SUM(I910)</f>
        <v>233.13399999999999</v>
      </c>
      <c r="J911" s="32">
        <v>0</v>
      </c>
      <c r="K911" s="20"/>
    </row>
    <row r="912" spans="1:11" ht="25.9" customHeight="1" x14ac:dyDescent="0.25">
      <c r="A912" s="2">
        <v>1</v>
      </c>
      <c r="B912" s="161" t="s">
        <v>1456</v>
      </c>
      <c r="C912" s="90" t="s">
        <v>1457</v>
      </c>
      <c r="D912" s="2" t="s">
        <v>1458</v>
      </c>
      <c r="E912" s="2" t="s">
        <v>23</v>
      </c>
      <c r="F912" s="17">
        <v>4756.3019999999997</v>
      </c>
      <c r="G912" s="18">
        <v>0</v>
      </c>
      <c r="H912" s="17">
        <v>4756.3019999999997</v>
      </c>
      <c r="I912" s="18">
        <v>0</v>
      </c>
      <c r="J912" s="32">
        <v>0</v>
      </c>
      <c r="K912" s="90" t="s">
        <v>418</v>
      </c>
    </row>
    <row r="913" spans="1:11" ht="25.9" customHeight="1" x14ac:dyDescent="0.25">
      <c r="A913" s="2">
        <v>2</v>
      </c>
      <c r="B913" s="162"/>
      <c r="C913" s="90" t="s">
        <v>1459</v>
      </c>
      <c r="D913" s="2" t="s">
        <v>1446</v>
      </c>
      <c r="E913" s="2" t="s">
        <v>23</v>
      </c>
      <c r="F913" s="87">
        <v>1629.18</v>
      </c>
      <c r="G913" s="98">
        <v>0</v>
      </c>
      <c r="H913" s="87">
        <v>1629.18</v>
      </c>
      <c r="I913" s="98">
        <v>0</v>
      </c>
      <c r="J913" s="32">
        <v>0</v>
      </c>
      <c r="K913" s="90" t="s">
        <v>418</v>
      </c>
    </row>
    <row r="914" spans="1:11" ht="25.9" customHeight="1" x14ac:dyDescent="0.25">
      <c r="A914" s="2">
        <v>3</v>
      </c>
      <c r="B914" s="162"/>
      <c r="C914" s="90" t="s">
        <v>1460</v>
      </c>
      <c r="D914" s="99" t="s">
        <v>1461</v>
      </c>
      <c r="E914" s="2" t="s">
        <v>23</v>
      </c>
      <c r="F914" s="17">
        <v>3344.1012099999998</v>
      </c>
      <c r="G914" s="18">
        <v>0</v>
      </c>
      <c r="H914" s="17">
        <v>3344.1012099999998</v>
      </c>
      <c r="I914" s="18">
        <v>0</v>
      </c>
      <c r="J914" s="32">
        <v>0</v>
      </c>
      <c r="K914" s="90" t="s">
        <v>418</v>
      </c>
    </row>
    <row r="915" spans="1:11" ht="25.9" customHeight="1" x14ac:dyDescent="0.25">
      <c r="A915" s="2">
        <v>4</v>
      </c>
      <c r="B915" s="162"/>
      <c r="C915" s="90" t="s">
        <v>1462</v>
      </c>
      <c r="D915" s="99" t="s">
        <v>1463</v>
      </c>
      <c r="E915" s="2" t="s">
        <v>23</v>
      </c>
      <c r="F915" s="17">
        <v>581.4</v>
      </c>
      <c r="G915" s="18">
        <v>0</v>
      </c>
      <c r="H915" s="17">
        <v>581.4</v>
      </c>
      <c r="I915" s="18">
        <v>0</v>
      </c>
      <c r="J915" s="32">
        <v>0</v>
      </c>
      <c r="K915" s="90" t="s">
        <v>418</v>
      </c>
    </row>
    <row r="916" spans="1:11" ht="25.9" customHeight="1" x14ac:dyDescent="0.25">
      <c r="A916" s="2">
        <v>5</v>
      </c>
      <c r="B916" s="162"/>
      <c r="C916" s="90" t="s">
        <v>1464</v>
      </c>
      <c r="D916" s="99" t="s">
        <v>1434</v>
      </c>
      <c r="E916" s="2" t="s">
        <v>23</v>
      </c>
      <c r="F916" s="17">
        <v>1821.4530600000001</v>
      </c>
      <c r="G916" s="18">
        <v>0</v>
      </c>
      <c r="H916" s="17">
        <v>1821.4530600000001</v>
      </c>
      <c r="I916" s="18">
        <v>0</v>
      </c>
      <c r="J916" s="32">
        <v>0</v>
      </c>
      <c r="K916" s="90" t="s">
        <v>418</v>
      </c>
    </row>
    <row r="917" spans="1:11" ht="25.9" customHeight="1" x14ac:dyDescent="0.25">
      <c r="A917" s="2">
        <v>6</v>
      </c>
      <c r="B917" s="163"/>
      <c r="C917" s="90" t="s">
        <v>1465</v>
      </c>
      <c r="D917" s="99" t="s">
        <v>1442</v>
      </c>
      <c r="E917" s="2" t="s">
        <v>23</v>
      </c>
      <c r="F917" s="17">
        <v>846.87</v>
      </c>
      <c r="G917" s="18">
        <v>0</v>
      </c>
      <c r="H917" s="17">
        <v>846.87</v>
      </c>
      <c r="I917" s="18">
        <v>0</v>
      </c>
      <c r="J917" s="32">
        <v>0</v>
      </c>
      <c r="K917" s="90" t="s">
        <v>418</v>
      </c>
    </row>
    <row r="918" spans="1:11" ht="34.9" customHeight="1" x14ac:dyDescent="0.25">
      <c r="A918" s="160" t="s">
        <v>1443</v>
      </c>
      <c r="B918" s="160"/>
      <c r="C918" s="160"/>
      <c r="D918" s="99"/>
      <c r="E918" s="2"/>
      <c r="F918" s="17">
        <f>SUM(F912:F917)</f>
        <v>12979.306270000001</v>
      </c>
      <c r="G918" s="18">
        <f>SUM(G912:G917)</f>
        <v>0</v>
      </c>
      <c r="H918" s="17">
        <f>SUM(H912:H917)</f>
        <v>12979.306270000001</v>
      </c>
      <c r="I918" s="18">
        <f>SUM(I912:I917)</f>
        <v>0</v>
      </c>
      <c r="J918" s="32">
        <v>0</v>
      </c>
      <c r="K918" s="90"/>
    </row>
    <row r="919" spans="1:11" ht="74.45" customHeight="1" x14ac:dyDescent="0.25">
      <c r="A919" s="2">
        <v>1</v>
      </c>
      <c r="B919" s="2" t="s">
        <v>1456</v>
      </c>
      <c r="C919" s="90" t="s">
        <v>1466</v>
      </c>
      <c r="D919" s="99" t="s">
        <v>1428</v>
      </c>
      <c r="E919" s="2" t="s">
        <v>23</v>
      </c>
      <c r="F919" s="17">
        <v>177.5</v>
      </c>
      <c r="G919" s="18">
        <v>0</v>
      </c>
      <c r="H919" s="17">
        <v>177.5</v>
      </c>
      <c r="I919" s="18">
        <v>0</v>
      </c>
      <c r="J919" s="32">
        <v>0</v>
      </c>
      <c r="K919" s="90" t="s">
        <v>65</v>
      </c>
    </row>
    <row r="920" spans="1:11" ht="28.9" customHeight="1" x14ac:dyDescent="0.25">
      <c r="A920" s="160" t="s">
        <v>20</v>
      </c>
      <c r="B920" s="160"/>
      <c r="C920" s="160"/>
      <c r="D920" s="2"/>
      <c r="E920" s="55"/>
      <c r="F920" s="17">
        <f>SUM(F919)</f>
        <v>177.5</v>
      </c>
      <c r="G920" s="18">
        <f t="shared" ref="G920:I920" si="97">SUM(G919)</f>
        <v>0</v>
      </c>
      <c r="H920" s="17">
        <f t="shared" si="97"/>
        <v>177.5</v>
      </c>
      <c r="I920" s="18">
        <f t="shared" si="97"/>
        <v>0</v>
      </c>
      <c r="J920" s="32">
        <v>0</v>
      </c>
      <c r="K920" s="17"/>
    </row>
    <row r="921" spans="1:11" ht="66.599999999999994" customHeight="1" x14ac:dyDescent="0.25">
      <c r="A921" s="100">
        <v>1</v>
      </c>
      <c r="B921" s="2" t="s">
        <v>1456</v>
      </c>
      <c r="C921" s="101" t="s">
        <v>1467</v>
      </c>
      <c r="D921" s="100" t="s">
        <v>1428</v>
      </c>
      <c r="E921" s="2" t="s">
        <v>23</v>
      </c>
      <c r="F921" s="17">
        <v>459</v>
      </c>
      <c r="G921" s="18">
        <v>0</v>
      </c>
      <c r="H921" s="18">
        <v>0</v>
      </c>
      <c r="I921" s="17">
        <v>459</v>
      </c>
      <c r="J921" s="32">
        <v>0</v>
      </c>
      <c r="K921" s="90" t="s">
        <v>109</v>
      </c>
    </row>
    <row r="922" spans="1:11" ht="30.6" customHeight="1" x14ac:dyDescent="0.25">
      <c r="A922" s="160" t="s">
        <v>21</v>
      </c>
      <c r="B922" s="160"/>
      <c r="C922" s="160"/>
      <c r="D922" s="20"/>
      <c r="E922" s="55"/>
      <c r="F922" s="96">
        <f>SUM(F921)</f>
        <v>459</v>
      </c>
      <c r="G922" s="97">
        <f t="shared" ref="G922:I922" si="98">SUM(G921)</f>
        <v>0</v>
      </c>
      <c r="H922" s="97">
        <f t="shared" si="98"/>
        <v>0</v>
      </c>
      <c r="I922" s="96">
        <f t="shared" si="98"/>
        <v>459</v>
      </c>
      <c r="J922" s="32">
        <v>0</v>
      </c>
      <c r="K922" s="20"/>
    </row>
    <row r="923" spans="1:11" ht="39" customHeight="1" x14ac:dyDescent="0.25">
      <c r="A923" s="2">
        <v>1</v>
      </c>
      <c r="B923" s="161" t="s">
        <v>1468</v>
      </c>
      <c r="C923" s="92" t="s">
        <v>1472</v>
      </c>
      <c r="D923" s="10" t="s">
        <v>1473</v>
      </c>
      <c r="E923" s="102" t="s">
        <v>36</v>
      </c>
      <c r="F923" s="17">
        <v>150</v>
      </c>
      <c r="G923" s="17">
        <v>150</v>
      </c>
      <c r="H923" s="18">
        <v>0</v>
      </c>
      <c r="I923" s="18">
        <v>0</v>
      </c>
      <c r="J923" s="32">
        <v>0</v>
      </c>
      <c r="K923" s="90" t="s">
        <v>1084</v>
      </c>
    </row>
    <row r="924" spans="1:11" ht="39" customHeight="1" x14ac:dyDescent="0.25">
      <c r="A924" s="2">
        <v>2</v>
      </c>
      <c r="B924" s="162"/>
      <c r="C924" s="92" t="s">
        <v>1474</v>
      </c>
      <c r="D924" s="10" t="s">
        <v>1475</v>
      </c>
      <c r="E924" s="102" t="s">
        <v>36</v>
      </c>
      <c r="F924" s="17">
        <v>208</v>
      </c>
      <c r="G924" s="17">
        <v>208</v>
      </c>
      <c r="H924" s="18">
        <v>0</v>
      </c>
      <c r="I924" s="18">
        <v>0</v>
      </c>
      <c r="J924" s="32">
        <v>0</v>
      </c>
      <c r="K924" s="90" t="s">
        <v>1084</v>
      </c>
    </row>
    <row r="925" spans="1:11" ht="39" customHeight="1" x14ac:dyDescent="0.25">
      <c r="A925" s="2">
        <v>3</v>
      </c>
      <c r="B925" s="162"/>
      <c r="C925" s="92" t="s">
        <v>1476</v>
      </c>
      <c r="D925" s="10" t="s">
        <v>1477</v>
      </c>
      <c r="E925" s="102" t="s">
        <v>36</v>
      </c>
      <c r="F925" s="17">
        <v>132.5</v>
      </c>
      <c r="G925" s="17">
        <v>132.5</v>
      </c>
      <c r="H925" s="18">
        <v>0</v>
      </c>
      <c r="I925" s="18">
        <v>0</v>
      </c>
      <c r="J925" s="32">
        <v>0</v>
      </c>
      <c r="K925" s="90" t="s">
        <v>1084</v>
      </c>
    </row>
    <row r="926" spans="1:11" ht="39" customHeight="1" x14ac:dyDescent="0.25">
      <c r="A926" s="2">
        <v>4</v>
      </c>
      <c r="B926" s="162"/>
      <c r="C926" s="10" t="s">
        <v>1478</v>
      </c>
      <c r="D926" s="10" t="s">
        <v>1432</v>
      </c>
      <c r="E926" s="102" t="s">
        <v>36</v>
      </c>
      <c r="F926" s="17">
        <v>420</v>
      </c>
      <c r="G926" s="17">
        <v>420</v>
      </c>
      <c r="H926" s="18">
        <v>0</v>
      </c>
      <c r="I926" s="18">
        <v>0</v>
      </c>
      <c r="J926" s="32">
        <v>0</v>
      </c>
      <c r="K926" s="90" t="s">
        <v>1084</v>
      </c>
    </row>
    <row r="927" spans="1:11" ht="39" customHeight="1" x14ac:dyDescent="0.25">
      <c r="A927" s="2">
        <f t="shared" ref="A927" si="99">A926+1</f>
        <v>5</v>
      </c>
      <c r="B927" s="163"/>
      <c r="C927" s="90" t="s">
        <v>1479</v>
      </c>
      <c r="D927" s="10" t="s">
        <v>1480</v>
      </c>
      <c r="E927" s="2" t="s">
        <v>23</v>
      </c>
      <c r="F927" s="96">
        <v>1000</v>
      </c>
      <c r="G927" s="97">
        <v>0</v>
      </c>
      <c r="H927" s="96">
        <v>1000</v>
      </c>
      <c r="I927" s="97">
        <v>0</v>
      </c>
      <c r="J927" s="32">
        <v>0</v>
      </c>
      <c r="K927" s="90" t="s">
        <v>37</v>
      </c>
    </row>
    <row r="928" spans="1:11" ht="21.6" customHeight="1" x14ac:dyDescent="0.25">
      <c r="A928" s="160" t="s">
        <v>1443</v>
      </c>
      <c r="B928" s="160"/>
      <c r="C928" s="160"/>
      <c r="D928" s="2"/>
      <c r="E928" s="20"/>
      <c r="F928" s="96">
        <f>SUM(F923:F927)</f>
        <v>1910.5</v>
      </c>
      <c r="G928" s="96">
        <f>SUM(G923:G927)</f>
        <v>910.5</v>
      </c>
      <c r="H928" s="96">
        <f>SUM(H923:H927)</f>
        <v>1000</v>
      </c>
      <c r="I928" s="97">
        <f>SUM(I923:I926)</f>
        <v>0</v>
      </c>
      <c r="J928" s="32">
        <v>0</v>
      </c>
      <c r="K928" s="2"/>
    </row>
    <row r="929" spans="1:11" ht="67.150000000000006" customHeight="1" x14ac:dyDescent="0.25">
      <c r="A929" s="2">
        <v>1</v>
      </c>
      <c r="B929" s="2" t="s">
        <v>1468</v>
      </c>
      <c r="C929" s="103" t="s">
        <v>1481</v>
      </c>
      <c r="D929" s="2" t="s">
        <v>1436</v>
      </c>
      <c r="E929" s="2" t="s">
        <v>23</v>
      </c>
      <c r="F929" s="17">
        <v>289500</v>
      </c>
      <c r="G929" s="18">
        <v>0</v>
      </c>
      <c r="H929" s="18">
        <v>0</v>
      </c>
      <c r="I929" s="17">
        <v>289500</v>
      </c>
      <c r="J929" s="32">
        <v>0</v>
      </c>
      <c r="K929" s="90" t="s">
        <v>438</v>
      </c>
    </row>
    <row r="930" spans="1:11" ht="30.6" customHeight="1" x14ac:dyDescent="0.25">
      <c r="A930" s="160" t="s">
        <v>21</v>
      </c>
      <c r="B930" s="160"/>
      <c r="C930" s="160"/>
      <c r="D930" s="20"/>
      <c r="E930" s="55"/>
      <c r="F930" s="96">
        <f>SUM(F929)</f>
        <v>289500</v>
      </c>
      <c r="G930" s="97">
        <f t="shared" ref="G930:I930" si="100">SUM(G929)</f>
        <v>0</v>
      </c>
      <c r="H930" s="97">
        <f t="shared" si="100"/>
        <v>0</v>
      </c>
      <c r="I930" s="96">
        <f t="shared" si="100"/>
        <v>289500</v>
      </c>
      <c r="J930" s="32">
        <v>0</v>
      </c>
      <c r="K930" s="20"/>
    </row>
    <row r="931" spans="1:11" ht="31.9" customHeight="1" x14ac:dyDescent="0.25">
      <c r="A931" s="2">
        <v>1</v>
      </c>
      <c r="B931" s="161" t="s">
        <v>1482</v>
      </c>
      <c r="C931" s="92" t="s">
        <v>1484</v>
      </c>
      <c r="D931" s="10" t="s">
        <v>1436</v>
      </c>
      <c r="E931" s="2" t="s">
        <v>23</v>
      </c>
      <c r="F931" s="17">
        <f>576300/1000</f>
        <v>576.29999999999995</v>
      </c>
      <c r="G931" s="18">
        <v>0</v>
      </c>
      <c r="H931" s="17">
        <f t="shared" ref="H931" si="101">576300/1000</f>
        <v>576.29999999999995</v>
      </c>
      <c r="I931" s="18">
        <v>0</v>
      </c>
      <c r="J931" s="32">
        <v>0</v>
      </c>
      <c r="K931" s="90" t="s">
        <v>1084</v>
      </c>
    </row>
    <row r="932" spans="1:11" ht="31.9" customHeight="1" x14ac:dyDescent="0.25">
      <c r="A932" s="2">
        <v>2</v>
      </c>
      <c r="B932" s="162"/>
      <c r="C932" s="92" t="s">
        <v>1485</v>
      </c>
      <c r="D932" s="10" t="s">
        <v>1486</v>
      </c>
      <c r="E932" s="2" t="s">
        <v>23</v>
      </c>
      <c r="F932" s="17">
        <f>1732400/1000</f>
        <v>1732.4</v>
      </c>
      <c r="G932" s="18">
        <v>0</v>
      </c>
      <c r="H932" s="17">
        <f>1732400/1000</f>
        <v>1732.4</v>
      </c>
      <c r="I932" s="18">
        <v>0</v>
      </c>
      <c r="J932" s="32">
        <v>0</v>
      </c>
      <c r="K932" s="90" t="s">
        <v>1084</v>
      </c>
    </row>
    <row r="933" spans="1:11" ht="31.9" customHeight="1" x14ac:dyDescent="0.25">
      <c r="A933" s="2">
        <f t="shared" ref="A933:A936" si="102">A932+1</f>
        <v>3</v>
      </c>
      <c r="B933" s="162"/>
      <c r="C933" s="92" t="s">
        <v>1487</v>
      </c>
      <c r="D933" s="10" t="s">
        <v>1434</v>
      </c>
      <c r="E933" s="2" t="s">
        <v>23</v>
      </c>
      <c r="F933" s="17">
        <f>2248410/1000</f>
        <v>2248.41</v>
      </c>
      <c r="G933" s="18">
        <v>0</v>
      </c>
      <c r="H933" s="17">
        <f t="shared" ref="H933" si="103">2248410/1000</f>
        <v>2248.41</v>
      </c>
      <c r="I933" s="18">
        <v>0</v>
      </c>
      <c r="J933" s="32">
        <v>0</v>
      </c>
      <c r="K933" s="90" t="s">
        <v>1084</v>
      </c>
    </row>
    <row r="934" spans="1:11" ht="31.9" customHeight="1" x14ac:dyDescent="0.25">
      <c r="A934" s="2">
        <f t="shared" si="102"/>
        <v>4</v>
      </c>
      <c r="B934" s="162"/>
      <c r="C934" s="92" t="s">
        <v>1488</v>
      </c>
      <c r="D934" s="10" t="s">
        <v>1442</v>
      </c>
      <c r="E934" s="2" t="s">
        <v>23</v>
      </c>
      <c r="F934" s="17">
        <f>432470/1000</f>
        <v>432.47</v>
      </c>
      <c r="G934" s="18">
        <v>0</v>
      </c>
      <c r="H934" s="17">
        <f t="shared" ref="H934" si="104">432470/1000</f>
        <v>432.47</v>
      </c>
      <c r="I934" s="18">
        <v>0</v>
      </c>
      <c r="J934" s="32">
        <v>0</v>
      </c>
      <c r="K934" s="90" t="s">
        <v>1084</v>
      </c>
    </row>
    <row r="935" spans="1:11" ht="31.9" customHeight="1" x14ac:dyDescent="0.25">
      <c r="A935" s="2">
        <f t="shared" si="102"/>
        <v>5</v>
      </c>
      <c r="B935" s="162"/>
      <c r="C935" s="92" t="s">
        <v>1489</v>
      </c>
      <c r="D935" s="10" t="s">
        <v>1439</v>
      </c>
      <c r="E935" s="2" t="s">
        <v>23</v>
      </c>
      <c r="F935" s="17">
        <f>214000/1000</f>
        <v>214</v>
      </c>
      <c r="G935" s="18">
        <v>0</v>
      </c>
      <c r="H935" s="17">
        <f t="shared" ref="H935" si="105">214000/1000</f>
        <v>214</v>
      </c>
      <c r="I935" s="18">
        <v>0</v>
      </c>
      <c r="J935" s="32">
        <v>0</v>
      </c>
      <c r="K935" s="90" t="s">
        <v>1084</v>
      </c>
    </row>
    <row r="936" spans="1:11" ht="31.9" customHeight="1" x14ac:dyDescent="0.25">
      <c r="A936" s="2">
        <f t="shared" si="102"/>
        <v>6</v>
      </c>
      <c r="B936" s="163"/>
      <c r="C936" s="90" t="s">
        <v>1490</v>
      </c>
      <c r="D936" s="10" t="s">
        <v>1446</v>
      </c>
      <c r="E936" s="2" t="s">
        <v>23</v>
      </c>
      <c r="F936" s="17">
        <f>1014225/1000</f>
        <v>1014.225</v>
      </c>
      <c r="G936" s="18">
        <v>0</v>
      </c>
      <c r="H936" s="17">
        <f t="shared" ref="H936" si="106">1014225/1000</f>
        <v>1014.225</v>
      </c>
      <c r="I936" s="18">
        <v>0</v>
      </c>
      <c r="J936" s="32">
        <v>0</v>
      </c>
      <c r="K936" s="90" t="s">
        <v>1084</v>
      </c>
    </row>
    <row r="937" spans="1:11" x14ac:dyDescent="0.25">
      <c r="A937" s="160" t="s">
        <v>1443</v>
      </c>
      <c r="B937" s="160"/>
      <c r="C937" s="160"/>
      <c r="D937" s="20"/>
      <c r="E937" s="55"/>
      <c r="F937" s="96">
        <f>SUM(F931:F936)</f>
        <v>6217.8050000000003</v>
      </c>
      <c r="G937" s="97">
        <f>SUM(G931:G936)</f>
        <v>0</v>
      </c>
      <c r="H937" s="96">
        <f>SUM(H931:H936)</f>
        <v>6217.8050000000003</v>
      </c>
      <c r="I937" s="97">
        <f>SUM(I931:I936)</f>
        <v>0</v>
      </c>
      <c r="J937" s="32">
        <v>0</v>
      </c>
      <c r="K937" s="2"/>
    </row>
    <row r="938" spans="1:11" ht="67.900000000000006" customHeight="1" x14ac:dyDescent="0.25">
      <c r="A938" s="2">
        <v>1</v>
      </c>
      <c r="B938" s="2" t="s">
        <v>1482</v>
      </c>
      <c r="C938" s="92" t="s">
        <v>1491</v>
      </c>
      <c r="D938" s="10" t="s">
        <v>1428</v>
      </c>
      <c r="E938" s="2" t="s">
        <v>23</v>
      </c>
      <c r="F938" s="17">
        <f>2000000/1000</f>
        <v>2000</v>
      </c>
      <c r="G938" s="18">
        <v>0</v>
      </c>
      <c r="H938" s="17">
        <v>2000</v>
      </c>
      <c r="I938" s="18">
        <v>0</v>
      </c>
      <c r="J938" s="32">
        <v>0</v>
      </c>
      <c r="K938" s="90" t="s">
        <v>73</v>
      </c>
    </row>
    <row r="939" spans="1:11" ht="27" customHeight="1" x14ac:dyDescent="0.25">
      <c r="A939" s="160" t="s">
        <v>20</v>
      </c>
      <c r="B939" s="160"/>
      <c r="C939" s="160"/>
      <c r="D939" s="2"/>
      <c r="E939" s="55"/>
      <c r="F939" s="96">
        <f>SUM(F938)</f>
        <v>2000</v>
      </c>
      <c r="G939" s="97">
        <f t="shared" ref="G939:I939" si="107">SUM(G938)</f>
        <v>0</v>
      </c>
      <c r="H939" s="96">
        <f t="shared" si="107"/>
        <v>2000</v>
      </c>
      <c r="I939" s="97">
        <f t="shared" si="107"/>
        <v>0</v>
      </c>
      <c r="J939" s="32">
        <v>0</v>
      </c>
      <c r="K939" s="17"/>
    </row>
    <row r="940" spans="1:11" ht="70.900000000000006" customHeight="1" x14ac:dyDescent="0.25">
      <c r="A940" s="2">
        <v>1</v>
      </c>
      <c r="B940" s="2" t="s">
        <v>1482</v>
      </c>
      <c r="C940" s="92" t="s">
        <v>1492</v>
      </c>
      <c r="D940" s="10" t="s">
        <v>1428</v>
      </c>
      <c r="E940" s="2" t="s">
        <v>23</v>
      </c>
      <c r="F940" s="17">
        <v>2000</v>
      </c>
      <c r="G940" s="18">
        <v>0</v>
      </c>
      <c r="H940" s="18">
        <v>0</v>
      </c>
      <c r="I940" s="17">
        <v>2000</v>
      </c>
      <c r="J940" s="32">
        <v>0</v>
      </c>
      <c r="K940" s="90" t="s">
        <v>115</v>
      </c>
    </row>
    <row r="941" spans="1:11" ht="30" customHeight="1" x14ac:dyDescent="0.25">
      <c r="A941" s="160" t="s">
        <v>21</v>
      </c>
      <c r="B941" s="160"/>
      <c r="C941" s="160"/>
      <c r="D941" s="10"/>
      <c r="E941" s="55"/>
      <c r="F941" s="96">
        <f>SUM(F940)</f>
        <v>2000</v>
      </c>
      <c r="G941" s="97">
        <f t="shared" ref="G941:I941" si="108">SUM(G940)</f>
        <v>0</v>
      </c>
      <c r="H941" s="97">
        <f t="shared" si="108"/>
        <v>0</v>
      </c>
      <c r="I941" s="96">
        <f t="shared" si="108"/>
        <v>2000</v>
      </c>
      <c r="J941" s="32">
        <v>0</v>
      </c>
      <c r="K941" s="2"/>
    </row>
    <row r="942" spans="1:11" ht="31.9" customHeight="1" x14ac:dyDescent="0.25">
      <c r="A942" s="2">
        <v>1</v>
      </c>
      <c r="B942" s="161" t="s">
        <v>1493</v>
      </c>
      <c r="C942" s="90" t="s">
        <v>1494</v>
      </c>
      <c r="D942" s="10" t="s">
        <v>1458</v>
      </c>
      <c r="E942" s="2" t="s">
        <v>23</v>
      </c>
      <c r="F942" s="17">
        <v>3767.11</v>
      </c>
      <c r="G942" s="18">
        <v>0</v>
      </c>
      <c r="H942" s="17">
        <v>3767.11</v>
      </c>
      <c r="I942" s="18">
        <v>0</v>
      </c>
      <c r="J942" s="32">
        <v>0</v>
      </c>
      <c r="K942" s="104" t="s">
        <v>418</v>
      </c>
    </row>
    <row r="943" spans="1:11" ht="31.9" customHeight="1" x14ac:dyDescent="0.25">
      <c r="A943" s="2">
        <v>2</v>
      </c>
      <c r="B943" s="162"/>
      <c r="C943" s="90" t="s">
        <v>1495</v>
      </c>
      <c r="D943" s="10" t="s">
        <v>1461</v>
      </c>
      <c r="E943" s="2" t="s">
        <v>23</v>
      </c>
      <c r="F943" s="17">
        <v>2714.0055600000001</v>
      </c>
      <c r="G943" s="18">
        <v>0</v>
      </c>
      <c r="H943" s="17">
        <v>2714.0055600000001</v>
      </c>
      <c r="I943" s="18">
        <v>0</v>
      </c>
      <c r="J943" s="32">
        <v>0</v>
      </c>
      <c r="K943" s="104" t="s">
        <v>418</v>
      </c>
    </row>
    <row r="944" spans="1:11" ht="31.9" customHeight="1" x14ac:dyDescent="0.25">
      <c r="A944" s="2">
        <v>3</v>
      </c>
      <c r="B944" s="162"/>
      <c r="C944" s="92" t="s">
        <v>1496</v>
      </c>
      <c r="D944" s="10" t="s">
        <v>1436</v>
      </c>
      <c r="E944" s="2" t="s">
        <v>23</v>
      </c>
      <c r="F944" s="17">
        <v>1341.229</v>
      </c>
      <c r="G944" s="18">
        <v>0</v>
      </c>
      <c r="H944" s="17">
        <v>1341.229</v>
      </c>
      <c r="I944" s="18">
        <v>0</v>
      </c>
      <c r="J944" s="32">
        <v>0</v>
      </c>
      <c r="K944" s="104" t="s">
        <v>418</v>
      </c>
    </row>
    <row r="945" spans="1:11" ht="31.9" customHeight="1" x14ac:dyDescent="0.25">
      <c r="A945" s="2">
        <v>4</v>
      </c>
      <c r="B945" s="162"/>
      <c r="C945" s="92" t="s">
        <v>1497</v>
      </c>
      <c r="D945" s="10" t="s">
        <v>1442</v>
      </c>
      <c r="E945" s="2" t="s">
        <v>23</v>
      </c>
      <c r="F945" s="17">
        <v>721.10400000000004</v>
      </c>
      <c r="G945" s="18">
        <v>0</v>
      </c>
      <c r="H945" s="17">
        <v>721.10400000000004</v>
      </c>
      <c r="I945" s="18">
        <v>0</v>
      </c>
      <c r="J945" s="32">
        <v>0</v>
      </c>
      <c r="K945" s="104" t="s">
        <v>418</v>
      </c>
    </row>
    <row r="946" spans="1:11" ht="31.9" customHeight="1" x14ac:dyDescent="0.25">
      <c r="A946" s="2">
        <v>5</v>
      </c>
      <c r="B946" s="163"/>
      <c r="C946" s="105" t="s">
        <v>1498</v>
      </c>
      <c r="D946" s="10" t="s">
        <v>1446</v>
      </c>
      <c r="E946" s="2" t="s">
        <v>23</v>
      </c>
      <c r="F946" s="17">
        <v>1608.04</v>
      </c>
      <c r="G946" s="18">
        <v>0</v>
      </c>
      <c r="H946" s="17">
        <v>1608.04</v>
      </c>
      <c r="I946" s="18">
        <v>0</v>
      </c>
      <c r="J946" s="32">
        <v>0</v>
      </c>
      <c r="K946" s="104" t="s">
        <v>418</v>
      </c>
    </row>
    <row r="947" spans="1:11" x14ac:dyDescent="0.25">
      <c r="A947" s="160" t="s">
        <v>1443</v>
      </c>
      <c r="B947" s="160"/>
      <c r="C947" s="160"/>
      <c r="D947" s="2"/>
      <c r="E947" s="55"/>
      <c r="F947" s="96">
        <f>SUM(F942:F946)</f>
        <v>10151.488560000002</v>
      </c>
      <c r="G947" s="97">
        <f>SUM(G942:G946)</f>
        <v>0</v>
      </c>
      <c r="H947" s="96">
        <f>SUM(H942:H946)</f>
        <v>10151.488560000002</v>
      </c>
      <c r="I947" s="97">
        <f t="shared" ref="I947" si="109">SUM(I942:I946)</f>
        <v>0</v>
      </c>
      <c r="J947" s="32">
        <v>0</v>
      </c>
      <c r="K947" s="17"/>
    </row>
    <row r="948" spans="1:11" ht="72.599999999999994" customHeight="1" x14ac:dyDescent="0.25">
      <c r="A948" s="2">
        <v>1</v>
      </c>
      <c r="B948" s="2" t="s">
        <v>1493</v>
      </c>
      <c r="C948" s="90" t="s">
        <v>1499</v>
      </c>
      <c r="D948" s="2" t="s">
        <v>1434</v>
      </c>
      <c r="E948" s="2" t="s">
        <v>23</v>
      </c>
      <c r="F948" s="96">
        <v>14346.148999999999</v>
      </c>
      <c r="G948" s="97">
        <v>0</v>
      </c>
      <c r="H948" s="97">
        <v>0</v>
      </c>
      <c r="I948" s="96">
        <v>14346.148999999999</v>
      </c>
      <c r="J948" s="32">
        <v>0</v>
      </c>
      <c r="K948" s="106" t="s">
        <v>63</v>
      </c>
    </row>
    <row r="949" spans="1:11" ht="27.6" customHeight="1" x14ac:dyDescent="0.25">
      <c r="A949" s="160" t="s">
        <v>20</v>
      </c>
      <c r="B949" s="160"/>
      <c r="C949" s="160"/>
      <c r="D949" s="10"/>
      <c r="E949" s="55"/>
      <c r="F949" s="96">
        <f>SUM(F948)</f>
        <v>14346.148999999999</v>
      </c>
      <c r="G949" s="97">
        <f t="shared" ref="G949:I949" si="110">SUM(G948)</f>
        <v>0</v>
      </c>
      <c r="H949" s="97">
        <f t="shared" si="110"/>
        <v>0</v>
      </c>
      <c r="I949" s="96">
        <f t="shared" si="110"/>
        <v>14346.148999999999</v>
      </c>
      <c r="J949" s="32">
        <v>0</v>
      </c>
      <c r="K949" s="2"/>
    </row>
    <row r="950" spans="1:11" ht="28.15" customHeight="1" x14ac:dyDescent="0.25">
      <c r="A950" s="2">
        <v>1</v>
      </c>
      <c r="B950" s="161" t="s">
        <v>1500</v>
      </c>
      <c r="C950" s="90" t="s">
        <v>1501</v>
      </c>
      <c r="D950" s="10" t="s">
        <v>132</v>
      </c>
      <c r="E950" s="2" t="s">
        <v>23</v>
      </c>
      <c r="F950" s="17">
        <v>1638</v>
      </c>
      <c r="G950" s="17">
        <v>730.25</v>
      </c>
      <c r="H950" s="17">
        <v>907.75</v>
      </c>
      <c r="I950" s="18">
        <v>0</v>
      </c>
      <c r="J950" s="32">
        <v>0</v>
      </c>
      <c r="K950" s="90" t="s">
        <v>1084</v>
      </c>
    </row>
    <row r="951" spans="1:11" ht="28.15" customHeight="1" x14ac:dyDescent="0.25">
      <c r="A951" s="2">
        <f>A950+1</f>
        <v>2</v>
      </c>
      <c r="B951" s="162"/>
      <c r="C951" s="90" t="s">
        <v>1502</v>
      </c>
      <c r="D951" s="10" t="s">
        <v>1439</v>
      </c>
      <c r="E951" s="2" t="s">
        <v>23</v>
      </c>
      <c r="F951" s="17">
        <v>442.16</v>
      </c>
      <c r="G951" s="18">
        <v>0</v>
      </c>
      <c r="H951" s="17">
        <v>442.16</v>
      </c>
      <c r="I951" s="18">
        <v>0</v>
      </c>
      <c r="J951" s="32">
        <v>0</v>
      </c>
      <c r="K951" s="90" t="s">
        <v>1084</v>
      </c>
    </row>
    <row r="952" spans="1:11" ht="28.15" customHeight="1" x14ac:dyDescent="0.25">
      <c r="A952" s="2">
        <v>3</v>
      </c>
      <c r="B952" s="162"/>
      <c r="C952" s="92" t="s">
        <v>1503</v>
      </c>
      <c r="D952" s="10" t="s">
        <v>1442</v>
      </c>
      <c r="E952" s="2" t="s">
        <v>23</v>
      </c>
      <c r="F952" s="17">
        <v>856.85</v>
      </c>
      <c r="G952" s="18">
        <v>0</v>
      </c>
      <c r="H952" s="17">
        <v>856.85</v>
      </c>
      <c r="I952" s="18">
        <v>0</v>
      </c>
      <c r="J952" s="32">
        <v>0</v>
      </c>
      <c r="K952" s="90" t="s">
        <v>1084</v>
      </c>
    </row>
    <row r="953" spans="1:11" ht="28.15" customHeight="1" x14ac:dyDescent="0.25">
      <c r="A953" s="2">
        <f t="shared" ref="A953" si="111">A952+1</f>
        <v>4</v>
      </c>
      <c r="B953" s="162"/>
      <c r="C953" s="92" t="s">
        <v>1504</v>
      </c>
      <c r="D953" s="10" t="s">
        <v>1461</v>
      </c>
      <c r="E953" s="2" t="s">
        <v>23</v>
      </c>
      <c r="F953" s="17">
        <v>2846.93</v>
      </c>
      <c r="G953" s="18">
        <v>0</v>
      </c>
      <c r="H953" s="17">
        <v>2846.93</v>
      </c>
      <c r="I953" s="18">
        <v>0</v>
      </c>
      <c r="J953" s="32">
        <v>0</v>
      </c>
      <c r="K953" s="90" t="s">
        <v>1084</v>
      </c>
    </row>
    <row r="954" spans="1:11" ht="28.15" customHeight="1" x14ac:dyDescent="0.25">
      <c r="A954" s="2">
        <v>5</v>
      </c>
      <c r="B954" s="162"/>
      <c r="C954" s="92" t="s">
        <v>1505</v>
      </c>
      <c r="D954" s="10" t="s">
        <v>1436</v>
      </c>
      <c r="E954" s="2" t="s">
        <v>23</v>
      </c>
      <c r="F954" s="17">
        <v>1790.3040000000001</v>
      </c>
      <c r="G954" s="18">
        <v>0</v>
      </c>
      <c r="H954" s="17">
        <v>1790.3040000000001</v>
      </c>
      <c r="I954" s="18">
        <v>0</v>
      </c>
      <c r="J954" s="32">
        <v>0</v>
      </c>
      <c r="K954" s="90" t="s">
        <v>1084</v>
      </c>
    </row>
    <row r="955" spans="1:11" ht="28.15" customHeight="1" x14ac:dyDescent="0.25">
      <c r="A955" s="2">
        <f t="shared" ref="A955" si="112">A954+1</f>
        <v>6</v>
      </c>
      <c r="B955" s="162"/>
      <c r="C955" s="92" t="s">
        <v>1506</v>
      </c>
      <c r="D955" s="10" t="s">
        <v>1458</v>
      </c>
      <c r="E955" s="2" t="s">
        <v>23</v>
      </c>
      <c r="F955" s="17">
        <v>4235.2569999999996</v>
      </c>
      <c r="G955" s="18">
        <v>0</v>
      </c>
      <c r="H955" s="17">
        <v>4235.2569999999996</v>
      </c>
      <c r="I955" s="18">
        <v>0</v>
      </c>
      <c r="J955" s="32">
        <v>0</v>
      </c>
      <c r="K955" s="90" t="s">
        <v>1084</v>
      </c>
    </row>
    <row r="956" spans="1:11" ht="28.15" customHeight="1" x14ac:dyDescent="0.25">
      <c r="A956" s="2">
        <v>7</v>
      </c>
      <c r="B956" s="163"/>
      <c r="C956" s="92" t="s">
        <v>1507</v>
      </c>
      <c r="D956" s="10" t="s">
        <v>1446</v>
      </c>
      <c r="E956" s="2" t="s">
        <v>23</v>
      </c>
      <c r="F956" s="17">
        <v>1160.9000000000001</v>
      </c>
      <c r="G956" s="18">
        <v>0</v>
      </c>
      <c r="H956" s="17">
        <v>1160.9000000000001</v>
      </c>
      <c r="I956" s="18">
        <v>0</v>
      </c>
      <c r="J956" s="32">
        <v>0</v>
      </c>
      <c r="K956" s="90" t="s">
        <v>1084</v>
      </c>
    </row>
    <row r="957" spans="1:11" ht="34.9" customHeight="1" x14ac:dyDescent="0.25">
      <c r="A957" s="160" t="s">
        <v>1443</v>
      </c>
      <c r="B957" s="160"/>
      <c r="C957" s="160"/>
      <c r="D957" s="20"/>
      <c r="E957" s="55"/>
      <c r="F957" s="96">
        <f>SUM(F950:F956)</f>
        <v>12970.401</v>
      </c>
      <c r="G957" s="96">
        <f t="shared" ref="G957:I957" si="113">SUM(G950:G956)</f>
        <v>730.25</v>
      </c>
      <c r="H957" s="96">
        <f t="shared" si="113"/>
        <v>12240.151</v>
      </c>
      <c r="I957" s="97">
        <f t="shared" si="113"/>
        <v>0</v>
      </c>
      <c r="J957" s="32">
        <v>0</v>
      </c>
      <c r="K957" s="90"/>
    </row>
    <row r="958" spans="1:11" ht="69" customHeight="1" x14ac:dyDescent="0.25">
      <c r="A958" s="2">
        <v>1</v>
      </c>
      <c r="B958" s="2" t="s">
        <v>1500</v>
      </c>
      <c r="C958" s="92" t="s">
        <v>1508</v>
      </c>
      <c r="D958" s="10" t="s">
        <v>1509</v>
      </c>
      <c r="E958" s="2" t="s">
        <v>23</v>
      </c>
      <c r="F958" s="17">
        <f>1000000/1000</f>
        <v>1000</v>
      </c>
      <c r="G958" s="18">
        <v>0</v>
      </c>
      <c r="H958" s="17">
        <f>1000000/1000</f>
        <v>1000</v>
      </c>
      <c r="I958" s="18">
        <v>0</v>
      </c>
      <c r="J958" s="32">
        <v>0</v>
      </c>
      <c r="K958" s="90" t="s">
        <v>284</v>
      </c>
    </row>
    <row r="959" spans="1:11" ht="25.9" customHeight="1" x14ac:dyDescent="0.25">
      <c r="A959" s="160" t="s">
        <v>20</v>
      </c>
      <c r="B959" s="160"/>
      <c r="C959" s="160"/>
      <c r="D959" s="10"/>
      <c r="E959" s="55"/>
      <c r="F959" s="96">
        <f>SUM(F958)</f>
        <v>1000</v>
      </c>
      <c r="G959" s="97">
        <f t="shared" ref="G959:I959" si="114">SUM(G958)</f>
        <v>0</v>
      </c>
      <c r="H959" s="96">
        <f t="shared" si="114"/>
        <v>1000</v>
      </c>
      <c r="I959" s="97">
        <f t="shared" si="114"/>
        <v>0</v>
      </c>
      <c r="J959" s="32">
        <v>0</v>
      </c>
      <c r="K959" s="2"/>
    </row>
    <row r="960" spans="1:11" ht="69.599999999999994" customHeight="1" x14ac:dyDescent="0.25">
      <c r="A960" s="2">
        <v>1</v>
      </c>
      <c r="B960" s="2" t="s">
        <v>1500</v>
      </c>
      <c r="C960" s="92" t="s">
        <v>1510</v>
      </c>
      <c r="D960" s="10" t="s">
        <v>1511</v>
      </c>
      <c r="E960" s="2" t="s">
        <v>23</v>
      </c>
      <c r="F960" s="17">
        <f>1500000/1000</f>
        <v>1500</v>
      </c>
      <c r="G960" s="18">
        <v>0</v>
      </c>
      <c r="H960" s="18">
        <v>0</v>
      </c>
      <c r="I960" s="17">
        <v>1500</v>
      </c>
      <c r="J960" s="32">
        <v>0</v>
      </c>
      <c r="K960" s="90" t="s">
        <v>291</v>
      </c>
    </row>
    <row r="961" spans="1:11" ht="29.45" customHeight="1" x14ac:dyDescent="0.25">
      <c r="A961" s="160" t="s">
        <v>21</v>
      </c>
      <c r="B961" s="160"/>
      <c r="C961" s="160"/>
      <c r="D961" s="10"/>
      <c r="E961" s="55"/>
      <c r="F961" s="96">
        <f>SUM(F960)</f>
        <v>1500</v>
      </c>
      <c r="G961" s="97">
        <f t="shared" ref="G961:I961" si="115">SUM(G960)</f>
        <v>0</v>
      </c>
      <c r="H961" s="97">
        <f t="shared" si="115"/>
        <v>0</v>
      </c>
      <c r="I961" s="96">
        <f t="shared" si="115"/>
        <v>1500</v>
      </c>
      <c r="J961" s="32">
        <v>0</v>
      </c>
      <c r="K961" s="2"/>
    </row>
    <row r="962" spans="1:11" ht="27.6" customHeight="1" x14ac:dyDescent="0.25">
      <c r="A962" s="2">
        <v>1</v>
      </c>
      <c r="B962" s="161" t="s">
        <v>1512</v>
      </c>
      <c r="C962" s="92" t="s">
        <v>1513</v>
      </c>
      <c r="D962" s="10" t="s">
        <v>1434</v>
      </c>
      <c r="E962" s="10" t="s">
        <v>23</v>
      </c>
      <c r="F962" s="17">
        <v>4713.3010999999997</v>
      </c>
      <c r="G962" s="18">
        <v>0</v>
      </c>
      <c r="H962" s="17">
        <v>4713.3010999999997</v>
      </c>
      <c r="I962" s="18">
        <v>0</v>
      </c>
      <c r="J962" s="32">
        <v>0</v>
      </c>
      <c r="K962" s="90" t="s">
        <v>1084</v>
      </c>
    </row>
    <row r="963" spans="1:11" ht="27.6" customHeight="1" x14ac:dyDescent="0.25">
      <c r="A963" s="2">
        <v>2</v>
      </c>
      <c r="B963" s="162"/>
      <c r="C963" s="92" t="s">
        <v>1514</v>
      </c>
      <c r="D963" s="10" t="s">
        <v>1434</v>
      </c>
      <c r="E963" s="10" t="s">
        <v>23</v>
      </c>
      <c r="F963" s="17">
        <v>4289.5785199999991</v>
      </c>
      <c r="G963" s="18">
        <v>0</v>
      </c>
      <c r="H963" s="17">
        <v>4289.5785199999991</v>
      </c>
      <c r="I963" s="18">
        <v>0</v>
      </c>
      <c r="J963" s="32">
        <v>0</v>
      </c>
      <c r="K963" s="90" t="s">
        <v>1084</v>
      </c>
    </row>
    <row r="964" spans="1:11" ht="27.6" customHeight="1" x14ac:dyDescent="0.25">
      <c r="A964" s="2">
        <v>3</v>
      </c>
      <c r="B964" s="162"/>
      <c r="C964" s="92" t="s">
        <v>1515</v>
      </c>
      <c r="D964" s="10" t="s">
        <v>1442</v>
      </c>
      <c r="E964" s="10" t="s">
        <v>23</v>
      </c>
      <c r="F964" s="17">
        <v>990.50400000000002</v>
      </c>
      <c r="G964" s="18">
        <v>0</v>
      </c>
      <c r="H964" s="17">
        <v>990.50400000000002</v>
      </c>
      <c r="I964" s="18">
        <v>0</v>
      </c>
      <c r="J964" s="32">
        <v>0</v>
      </c>
      <c r="K964" s="90" t="s">
        <v>1084</v>
      </c>
    </row>
    <row r="965" spans="1:11" ht="27.6" customHeight="1" x14ac:dyDescent="0.25">
      <c r="A965" s="2">
        <v>4</v>
      </c>
      <c r="B965" s="162"/>
      <c r="C965" s="92" t="s">
        <v>1516</v>
      </c>
      <c r="D965" s="10" t="s">
        <v>1436</v>
      </c>
      <c r="E965" s="10" t="s">
        <v>23</v>
      </c>
      <c r="F965" s="17">
        <v>1695.86</v>
      </c>
      <c r="G965" s="18">
        <v>0</v>
      </c>
      <c r="H965" s="17">
        <v>1695.86</v>
      </c>
      <c r="I965" s="18">
        <v>0</v>
      </c>
      <c r="J965" s="32">
        <v>0</v>
      </c>
      <c r="K965" s="90" t="s">
        <v>1084</v>
      </c>
    </row>
    <row r="966" spans="1:11" ht="27.6" customHeight="1" x14ac:dyDescent="0.25">
      <c r="A966" s="2">
        <v>5</v>
      </c>
      <c r="B966" s="163"/>
      <c r="C966" s="92" t="s">
        <v>1517</v>
      </c>
      <c r="D966" s="10" t="s">
        <v>1439</v>
      </c>
      <c r="E966" s="10" t="s">
        <v>23</v>
      </c>
      <c r="F966" s="17">
        <v>925.197</v>
      </c>
      <c r="G966" s="18">
        <v>0</v>
      </c>
      <c r="H966" s="17">
        <v>925.197</v>
      </c>
      <c r="I966" s="18">
        <v>0</v>
      </c>
      <c r="J966" s="32">
        <v>0</v>
      </c>
      <c r="K966" s="90" t="s">
        <v>1084</v>
      </c>
    </row>
    <row r="967" spans="1:11" ht="30.6" customHeight="1" x14ac:dyDescent="0.25">
      <c r="A967" s="172" t="s">
        <v>1443</v>
      </c>
      <c r="B967" s="172"/>
      <c r="C967" s="172"/>
      <c r="D967" s="20"/>
      <c r="E967" s="31"/>
      <c r="F967" s="96">
        <f>SUM(F962:F966)</f>
        <v>12614.440620000001</v>
      </c>
      <c r="G967" s="97">
        <f>SUM(G962:G966)</f>
        <v>0</v>
      </c>
      <c r="H967" s="96">
        <f>SUM(H962:H966)</f>
        <v>12614.440620000001</v>
      </c>
      <c r="I967" s="97">
        <f>SUM(I962:I966)</f>
        <v>0</v>
      </c>
      <c r="J967" s="32">
        <v>0</v>
      </c>
      <c r="K967" s="96"/>
    </row>
    <row r="968" spans="1:11" ht="46.15" customHeight="1" x14ac:dyDescent="0.25">
      <c r="A968" s="20">
        <v>1</v>
      </c>
      <c r="B968" s="161" t="s">
        <v>1512</v>
      </c>
      <c r="C968" s="92" t="s">
        <v>1518</v>
      </c>
      <c r="D968" s="10" t="s">
        <v>1519</v>
      </c>
      <c r="E968" s="10" t="s">
        <v>23</v>
      </c>
      <c r="F968" s="17">
        <v>15641.530720000001</v>
      </c>
      <c r="G968" s="18">
        <v>0</v>
      </c>
      <c r="H968" s="17">
        <v>15641.530720000001</v>
      </c>
      <c r="I968" s="18">
        <v>0</v>
      </c>
      <c r="J968" s="32">
        <v>0</v>
      </c>
      <c r="K968" s="90" t="s">
        <v>65</v>
      </c>
    </row>
    <row r="969" spans="1:11" ht="36.6" customHeight="1" x14ac:dyDescent="0.25">
      <c r="A969" s="20">
        <v>2</v>
      </c>
      <c r="B969" s="163"/>
      <c r="C969" s="92" t="s">
        <v>1520</v>
      </c>
      <c r="D969" s="10" t="s">
        <v>1521</v>
      </c>
      <c r="E969" s="10" t="s">
        <v>23</v>
      </c>
      <c r="F969" s="17">
        <v>28997.257379999999</v>
      </c>
      <c r="G969" s="18">
        <v>0</v>
      </c>
      <c r="H969" s="17">
        <v>5426.8933799999995</v>
      </c>
      <c r="I969" s="17">
        <v>23570.364000000001</v>
      </c>
      <c r="J969" s="32">
        <v>0</v>
      </c>
      <c r="K969" s="90" t="s">
        <v>424</v>
      </c>
    </row>
    <row r="970" spans="1:11" ht="28.9" customHeight="1" x14ac:dyDescent="0.25">
      <c r="A970" s="160" t="s">
        <v>20</v>
      </c>
      <c r="B970" s="160"/>
      <c r="C970" s="160"/>
      <c r="D970" s="10"/>
      <c r="E970" s="55"/>
      <c r="F970" s="96">
        <f>SUM(F968:F969)</f>
        <v>44638.788099999998</v>
      </c>
      <c r="G970" s="97">
        <f t="shared" ref="G970:I970" si="116">SUM(G968:G969)</f>
        <v>0</v>
      </c>
      <c r="H970" s="96">
        <f t="shared" si="116"/>
        <v>21068.4241</v>
      </c>
      <c r="I970" s="96">
        <f t="shared" si="116"/>
        <v>23570.364000000001</v>
      </c>
      <c r="J970" s="32">
        <v>0</v>
      </c>
      <c r="K970" s="2"/>
    </row>
    <row r="971" spans="1:11" ht="72.599999999999994" customHeight="1" x14ac:dyDescent="0.25">
      <c r="A971" s="20">
        <v>1</v>
      </c>
      <c r="B971" s="2" t="s">
        <v>1512</v>
      </c>
      <c r="C971" s="92" t="s">
        <v>1522</v>
      </c>
      <c r="D971" s="10" t="s">
        <v>1523</v>
      </c>
      <c r="E971" s="10" t="s">
        <v>23</v>
      </c>
      <c r="F971" s="17">
        <v>15641.530720000001</v>
      </c>
      <c r="G971" s="18">
        <v>0</v>
      </c>
      <c r="H971" s="18">
        <v>0</v>
      </c>
      <c r="I971" s="17">
        <v>15641.530720000001</v>
      </c>
      <c r="J971" s="32">
        <v>0</v>
      </c>
      <c r="K971" s="90" t="s">
        <v>109</v>
      </c>
    </row>
    <row r="972" spans="1:11" ht="27.6" customHeight="1" x14ac:dyDescent="0.25">
      <c r="A972" s="160" t="s">
        <v>21</v>
      </c>
      <c r="B972" s="160"/>
      <c r="C972" s="160"/>
      <c r="D972" s="10"/>
      <c r="E972" s="55"/>
      <c r="F972" s="96">
        <f>SUM(F971)</f>
        <v>15641.530720000001</v>
      </c>
      <c r="G972" s="97">
        <f t="shared" ref="G972:I972" si="117">SUM(G971)</f>
        <v>0</v>
      </c>
      <c r="H972" s="97">
        <f t="shared" si="117"/>
        <v>0</v>
      </c>
      <c r="I972" s="96">
        <f t="shared" si="117"/>
        <v>15641.530720000001</v>
      </c>
      <c r="J972" s="32">
        <v>0</v>
      </c>
      <c r="K972" s="2"/>
    </row>
    <row r="973" spans="1:11" ht="39" customHeight="1" x14ac:dyDescent="0.25">
      <c r="A973" s="20">
        <v>1</v>
      </c>
      <c r="B973" s="161" t="s">
        <v>1524</v>
      </c>
      <c r="C973" s="92" t="s">
        <v>1525</v>
      </c>
      <c r="D973" s="10" t="s">
        <v>1469</v>
      </c>
      <c r="E973" s="10" t="s">
        <v>23</v>
      </c>
      <c r="F973" s="107">
        <v>868.56</v>
      </c>
      <c r="G973" s="108">
        <v>0</v>
      </c>
      <c r="H973" s="107">
        <v>434.28</v>
      </c>
      <c r="I973" s="107">
        <v>434.28</v>
      </c>
      <c r="J973" s="32">
        <v>0</v>
      </c>
      <c r="K973" s="90" t="s">
        <v>1084</v>
      </c>
    </row>
    <row r="974" spans="1:11" ht="45.6" customHeight="1" x14ac:dyDescent="0.25">
      <c r="A974" s="20">
        <v>2</v>
      </c>
      <c r="B974" s="163"/>
      <c r="C974" s="92" t="s">
        <v>1526</v>
      </c>
      <c r="D974" s="10" t="s">
        <v>1471</v>
      </c>
      <c r="E974" s="10" t="s">
        <v>23</v>
      </c>
      <c r="F974" s="107">
        <v>200.05511999999999</v>
      </c>
      <c r="G974" s="108">
        <v>0</v>
      </c>
      <c r="H974" s="107">
        <v>100.02755999999999</v>
      </c>
      <c r="I974" s="107">
        <v>100.02755999999999</v>
      </c>
      <c r="J974" s="32">
        <v>0</v>
      </c>
      <c r="K974" s="90" t="s">
        <v>1084</v>
      </c>
    </row>
    <row r="975" spans="1:11" ht="28.15" customHeight="1" x14ac:dyDescent="0.25">
      <c r="A975" s="160" t="s">
        <v>1443</v>
      </c>
      <c r="B975" s="160"/>
      <c r="C975" s="160"/>
      <c r="D975" s="20"/>
      <c r="E975" s="55"/>
      <c r="F975" s="96">
        <f>SUM(F973:F974)</f>
        <v>1068.6151199999999</v>
      </c>
      <c r="G975" s="97">
        <f>SUM(G973:G974)</f>
        <v>0</v>
      </c>
      <c r="H975" s="96">
        <f>SUM(H973:H974)</f>
        <v>534.30755999999997</v>
      </c>
      <c r="I975" s="96">
        <f>SUM(I973:I974)</f>
        <v>534.30755999999997</v>
      </c>
      <c r="J975" s="32">
        <v>0</v>
      </c>
      <c r="K975" s="96"/>
    </row>
    <row r="976" spans="1:11" ht="63" customHeight="1" x14ac:dyDescent="0.25">
      <c r="A976" s="20">
        <v>1</v>
      </c>
      <c r="B976" s="2" t="s">
        <v>1524</v>
      </c>
      <c r="C976" s="92" t="s">
        <v>1527</v>
      </c>
      <c r="D976" s="10" t="s">
        <v>132</v>
      </c>
      <c r="E976" s="10" t="s">
        <v>23</v>
      </c>
      <c r="F976" s="17">
        <v>2705.5942300000002</v>
      </c>
      <c r="G976" s="18">
        <v>0</v>
      </c>
      <c r="H976" s="18">
        <v>0</v>
      </c>
      <c r="I976" s="17">
        <v>2705.5942300000002</v>
      </c>
      <c r="J976" s="32">
        <v>0</v>
      </c>
      <c r="K976" s="90" t="s">
        <v>291</v>
      </c>
    </row>
    <row r="977" spans="1:11" ht="27.6" customHeight="1" x14ac:dyDescent="0.25">
      <c r="A977" s="160" t="s">
        <v>21</v>
      </c>
      <c r="B977" s="160"/>
      <c r="C977" s="160"/>
      <c r="D977" s="10"/>
      <c r="E977" s="55"/>
      <c r="F977" s="96">
        <f>SUM(F976)</f>
        <v>2705.5942300000002</v>
      </c>
      <c r="G977" s="97">
        <f t="shared" ref="G977:I977" si="118">SUM(G976)</f>
        <v>0</v>
      </c>
      <c r="H977" s="97">
        <f t="shared" si="118"/>
        <v>0</v>
      </c>
      <c r="I977" s="96">
        <f t="shared" si="118"/>
        <v>2705.5942300000002</v>
      </c>
      <c r="J977" s="32">
        <v>0</v>
      </c>
      <c r="K977" s="2"/>
    </row>
    <row r="978" spans="1:11" ht="27.6" customHeight="1" x14ac:dyDescent="0.25">
      <c r="A978" s="20">
        <v>1</v>
      </c>
      <c r="B978" s="161" t="s">
        <v>1528</v>
      </c>
      <c r="C978" s="92" t="s">
        <v>1529</v>
      </c>
      <c r="D978" s="10" t="s">
        <v>132</v>
      </c>
      <c r="E978" s="10" t="s">
        <v>23</v>
      </c>
      <c r="F978" s="17">
        <v>4555.2</v>
      </c>
      <c r="G978" s="18">
        <v>0</v>
      </c>
      <c r="H978" s="17">
        <v>3428.36</v>
      </c>
      <c r="I978" s="17">
        <v>1126.8399999999999</v>
      </c>
      <c r="J978" s="32">
        <v>0</v>
      </c>
      <c r="K978" s="91" t="s">
        <v>1084</v>
      </c>
    </row>
    <row r="979" spans="1:11" ht="27.6" customHeight="1" x14ac:dyDescent="0.25">
      <c r="A979" s="20">
        <v>2</v>
      </c>
      <c r="B979" s="162"/>
      <c r="C979" s="92" t="s">
        <v>1530</v>
      </c>
      <c r="D979" s="10" t="s">
        <v>1434</v>
      </c>
      <c r="E979" s="10" t="s">
        <v>23</v>
      </c>
      <c r="F979" s="17">
        <v>3753.3</v>
      </c>
      <c r="G979" s="18">
        <v>0</v>
      </c>
      <c r="H979" s="17">
        <v>3753.3</v>
      </c>
      <c r="I979" s="18">
        <v>0</v>
      </c>
      <c r="J979" s="32">
        <v>0</v>
      </c>
      <c r="K979" s="91" t="s">
        <v>1084</v>
      </c>
    </row>
    <row r="980" spans="1:11" ht="27.6" customHeight="1" x14ac:dyDescent="0.25">
      <c r="A980" s="20">
        <v>3</v>
      </c>
      <c r="B980" s="162"/>
      <c r="C980" s="92" t="s">
        <v>1531</v>
      </c>
      <c r="D980" s="10" t="s">
        <v>1442</v>
      </c>
      <c r="E980" s="10" t="s">
        <v>23</v>
      </c>
      <c r="F980" s="17">
        <v>906.85</v>
      </c>
      <c r="G980" s="18">
        <v>0</v>
      </c>
      <c r="H980" s="17">
        <v>906.85</v>
      </c>
      <c r="I980" s="18">
        <v>0</v>
      </c>
      <c r="J980" s="32">
        <v>0</v>
      </c>
      <c r="K980" s="91" t="s">
        <v>1084</v>
      </c>
    </row>
    <row r="981" spans="1:11" ht="27.6" customHeight="1" x14ac:dyDescent="0.25">
      <c r="A981" s="20">
        <v>4</v>
      </c>
      <c r="B981" s="162"/>
      <c r="C981" s="92" t="s">
        <v>1532</v>
      </c>
      <c r="D981" s="10" t="s">
        <v>1434</v>
      </c>
      <c r="E981" s="10" t="s">
        <v>23</v>
      </c>
      <c r="F981" s="17">
        <v>4495.75</v>
      </c>
      <c r="G981" s="18">
        <v>0</v>
      </c>
      <c r="H981" s="17">
        <v>4495.75</v>
      </c>
      <c r="I981" s="18">
        <v>0</v>
      </c>
      <c r="J981" s="32">
        <v>0</v>
      </c>
      <c r="K981" s="91" t="s">
        <v>1084</v>
      </c>
    </row>
    <row r="982" spans="1:11" ht="27.6" customHeight="1" x14ac:dyDescent="0.25">
      <c r="A982" s="20">
        <v>5</v>
      </c>
      <c r="B982" s="162"/>
      <c r="C982" s="92" t="s">
        <v>1533</v>
      </c>
      <c r="D982" s="10" t="s">
        <v>1446</v>
      </c>
      <c r="E982" s="10" t="s">
        <v>23</v>
      </c>
      <c r="F982" s="17">
        <v>2129.27</v>
      </c>
      <c r="G982" s="18">
        <v>0</v>
      </c>
      <c r="H982" s="17">
        <v>2129.27</v>
      </c>
      <c r="I982" s="18">
        <v>0</v>
      </c>
      <c r="J982" s="32">
        <v>0</v>
      </c>
      <c r="K982" s="91" t="s">
        <v>1084</v>
      </c>
    </row>
    <row r="983" spans="1:11" ht="27.6" customHeight="1" x14ac:dyDescent="0.25">
      <c r="A983" s="20">
        <v>6</v>
      </c>
      <c r="B983" s="163"/>
      <c r="C983" s="92" t="s">
        <v>1534</v>
      </c>
      <c r="D983" s="10" t="s">
        <v>1436</v>
      </c>
      <c r="E983" s="10" t="s">
        <v>23</v>
      </c>
      <c r="F983" s="17">
        <v>1665.07</v>
      </c>
      <c r="G983" s="18">
        <v>0</v>
      </c>
      <c r="H983" s="17">
        <v>1665.07</v>
      </c>
      <c r="I983" s="18">
        <v>0</v>
      </c>
      <c r="J983" s="32">
        <v>0</v>
      </c>
      <c r="K983" s="91" t="s">
        <v>1084</v>
      </c>
    </row>
    <row r="984" spans="1:11" ht="30.6" customHeight="1" x14ac:dyDescent="0.25">
      <c r="A984" s="160" t="s">
        <v>1443</v>
      </c>
      <c r="B984" s="160"/>
      <c r="C984" s="160"/>
      <c r="D984" s="20"/>
      <c r="E984" s="55"/>
      <c r="F984" s="96">
        <f>SUM(F978:F983)</f>
        <v>17505.440000000002</v>
      </c>
      <c r="G984" s="97">
        <f>SUM(G978:G983)</f>
        <v>0</v>
      </c>
      <c r="H984" s="96">
        <f>SUM(H978:H983)</f>
        <v>16378.6</v>
      </c>
      <c r="I984" s="96">
        <f>SUM(I978:I983)</f>
        <v>1126.8399999999999</v>
      </c>
      <c r="J984" s="32">
        <v>0</v>
      </c>
      <c r="K984" s="96"/>
    </row>
    <row r="985" spans="1:11" ht="27.6" customHeight="1" x14ac:dyDescent="0.25">
      <c r="A985" s="20">
        <v>1</v>
      </c>
      <c r="B985" s="161" t="s">
        <v>1535</v>
      </c>
      <c r="C985" s="92" t="s">
        <v>1536</v>
      </c>
      <c r="D985" s="10" t="s">
        <v>1434</v>
      </c>
      <c r="E985" s="10" t="s">
        <v>23</v>
      </c>
      <c r="F985" s="17">
        <v>2831.18</v>
      </c>
      <c r="G985" s="18">
        <v>0</v>
      </c>
      <c r="H985" s="17">
        <v>2831.18</v>
      </c>
      <c r="I985" s="18">
        <v>0</v>
      </c>
      <c r="J985" s="32">
        <v>0</v>
      </c>
      <c r="K985" s="91" t="s">
        <v>1084</v>
      </c>
    </row>
    <row r="986" spans="1:11" ht="27.6" customHeight="1" x14ac:dyDescent="0.25">
      <c r="A986" s="20">
        <v>2</v>
      </c>
      <c r="B986" s="162"/>
      <c r="C986" s="92" t="s">
        <v>1537</v>
      </c>
      <c r="D986" s="10" t="s">
        <v>1434</v>
      </c>
      <c r="E986" s="10" t="s">
        <v>23</v>
      </c>
      <c r="F986" s="17">
        <v>4049.65</v>
      </c>
      <c r="G986" s="18">
        <v>0</v>
      </c>
      <c r="H986" s="17">
        <v>4049.65</v>
      </c>
      <c r="I986" s="18">
        <v>0</v>
      </c>
      <c r="J986" s="32">
        <v>0</v>
      </c>
      <c r="K986" s="91" t="s">
        <v>1084</v>
      </c>
    </row>
    <row r="987" spans="1:11" ht="27.6" customHeight="1" x14ac:dyDescent="0.25">
      <c r="A987" s="20">
        <v>3</v>
      </c>
      <c r="B987" s="162"/>
      <c r="C987" s="92" t="s">
        <v>1538</v>
      </c>
      <c r="D987" s="10" t="s">
        <v>1439</v>
      </c>
      <c r="E987" s="10" t="s">
        <v>23</v>
      </c>
      <c r="F987" s="17">
        <v>366.96</v>
      </c>
      <c r="G987" s="18">
        <v>0</v>
      </c>
      <c r="H987" s="17">
        <v>366.96</v>
      </c>
      <c r="I987" s="18">
        <v>0</v>
      </c>
      <c r="J987" s="32">
        <v>0</v>
      </c>
      <c r="K987" s="91" t="s">
        <v>1084</v>
      </c>
    </row>
    <row r="988" spans="1:11" ht="27.6" customHeight="1" x14ac:dyDescent="0.25">
      <c r="A988" s="20">
        <v>4</v>
      </c>
      <c r="B988" s="162"/>
      <c r="C988" s="92" t="s">
        <v>1539</v>
      </c>
      <c r="D988" s="10" t="s">
        <v>1436</v>
      </c>
      <c r="E988" s="10" t="s">
        <v>23</v>
      </c>
      <c r="F988" s="17">
        <v>1278.75</v>
      </c>
      <c r="G988" s="18">
        <v>0</v>
      </c>
      <c r="H988" s="17">
        <v>1278.75</v>
      </c>
      <c r="I988" s="18">
        <v>0</v>
      </c>
      <c r="J988" s="32">
        <v>0</v>
      </c>
      <c r="K988" s="91" t="s">
        <v>1084</v>
      </c>
    </row>
    <row r="989" spans="1:11" ht="27.6" customHeight="1" x14ac:dyDescent="0.25">
      <c r="A989" s="20">
        <v>5</v>
      </c>
      <c r="B989" s="163"/>
      <c r="C989" s="92" t="s">
        <v>1540</v>
      </c>
      <c r="D989" s="10" t="s">
        <v>1442</v>
      </c>
      <c r="E989" s="10" t="s">
        <v>23</v>
      </c>
      <c r="F989" s="17">
        <v>694.77</v>
      </c>
      <c r="G989" s="18">
        <v>0</v>
      </c>
      <c r="H989" s="17">
        <v>694.77</v>
      </c>
      <c r="I989" s="18">
        <v>0</v>
      </c>
      <c r="J989" s="32">
        <v>0</v>
      </c>
      <c r="K989" s="91" t="s">
        <v>1084</v>
      </c>
    </row>
    <row r="990" spans="1:11" ht="29.45" customHeight="1" x14ac:dyDescent="0.25">
      <c r="A990" s="160" t="s">
        <v>1443</v>
      </c>
      <c r="B990" s="160"/>
      <c r="C990" s="160"/>
      <c r="D990" s="20"/>
      <c r="E990" s="55"/>
      <c r="F990" s="96">
        <f>SUM(F985:F989)</f>
        <v>9221.3100000000013</v>
      </c>
      <c r="G990" s="97">
        <f t="shared" ref="G990:I990" si="119">SUM(G985:G989)</f>
        <v>0</v>
      </c>
      <c r="H990" s="96">
        <f t="shared" si="119"/>
        <v>9221.3100000000013</v>
      </c>
      <c r="I990" s="97">
        <f t="shared" si="119"/>
        <v>0</v>
      </c>
      <c r="J990" s="32">
        <v>0</v>
      </c>
      <c r="K990" s="96"/>
    </row>
    <row r="991" spans="1:11" ht="35.450000000000003" customHeight="1" x14ac:dyDescent="0.25">
      <c r="A991" s="20">
        <v>1</v>
      </c>
      <c r="B991" s="161" t="s">
        <v>1535</v>
      </c>
      <c r="C991" s="92" t="s">
        <v>1541</v>
      </c>
      <c r="D991" s="10" t="s">
        <v>1542</v>
      </c>
      <c r="E991" s="10" t="s">
        <v>23</v>
      </c>
      <c r="F991" s="17">
        <v>3408.6649600000001</v>
      </c>
      <c r="G991" s="18">
        <v>0</v>
      </c>
      <c r="H991" s="17">
        <v>3408.6649600000001</v>
      </c>
      <c r="I991" s="18">
        <v>0</v>
      </c>
      <c r="J991" s="32">
        <v>0</v>
      </c>
      <c r="K991" s="90" t="s">
        <v>284</v>
      </c>
    </row>
    <row r="992" spans="1:11" ht="37.9" customHeight="1" x14ac:dyDescent="0.25">
      <c r="A992" s="20">
        <v>2</v>
      </c>
      <c r="B992" s="163"/>
      <c r="C992" s="92" t="s">
        <v>1543</v>
      </c>
      <c r="D992" s="10" t="s">
        <v>1434</v>
      </c>
      <c r="E992" s="10" t="s">
        <v>23</v>
      </c>
      <c r="F992" s="17">
        <v>9539.7487200000014</v>
      </c>
      <c r="G992" s="18">
        <v>0</v>
      </c>
      <c r="H992" s="17">
        <v>9539.7487200000014</v>
      </c>
      <c r="I992" s="18">
        <v>0</v>
      </c>
      <c r="J992" s="32">
        <v>0</v>
      </c>
      <c r="K992" s="90" t="s">
        <v>284</v>
      </c>
    </row>
    <row r="993" spans="1:11" ht="26.45" customHeight="1" x14ac:dyDescent="0.25">
      <c r="A993" s="160" t="s">
        <v>20</v>
      </c>
      <c r="B993" s="160"/>
      <c r="C993" s="160"/>
      <c r="D993" s="10"/>
      <c r="E993" s="55"/>
      <c r="F993" s="96">
        <f>SUM(F991:F992)</f>
        <v>12948.413680000001</v>
      </c>
      <c r="G993" s="97">
        <f t="shared" ref="G993:I993" si="120">SUM(G991:G992)</f>
        <v>0</v>
      </c>
      <c r="H993" s="96">
        <f t="shared" si="120"/>
        <v>12948.413680000001</v>
      </c>
      <c r="I993" s="97">
        <f t="shared" si="120"/>
        <v>0</v>
      </c>
      <c r="J993" s="32">
        <v>0</v>
      </c>
      <c r="K993" s="2"/>
    </row>
    <row r="994" spans="1:11" ht="40.9" customHeight="1" x14ac:dyDescent="0.25">
      <c r="A994" s="20">
        <v>1</v>
      </c>
      <c r="B994" s="161" t="s">
        <v>1535</v>
      </c>
      <c r="C994" s="92" t="s">
        <v>1544</v>
      </c>
      <c r="D994" s="10" t="s">
        <v>1542</v>
      </c>
      <c r="E994" s="10" t="s">
        <v>23</v>
      </c>
      <c r="F994" s="17">
        <v>3408.6649600000001</v>
      </c>
      <c r="G994" s="18">
        <v>0</v>
      </c>
      <c r="H994" s="18">
        <v>0</v>
      </c>
      <c r="I994" s="17">
        <v>3408.6649600000001</v>
      </c>
      <c r="J994" s="32">
        <v>0</v>
      </c>
      <c r="K994" s="90" t="s">
        <v>291</v>
      </c>
    </row>
    <row r="995" spans="1:11" ht="40.9" customHeight="1" x14ac:dyDescent="0.25">
      <c r="A995" s="20">
        <v>2</v>
      </c>
      <c r="B995" s="163"/>
      <c r="C995" s="92" t="s">
        <v>1545</v>
      </c>
      <c r="D995" s="10" t="s">
        <v>1434</v>
      </c>
      <c r="E995" s="10" t="s">
        <v>23</v>
      </c>
      <c r="F995" s="17">
        <v>18761.058719999997</v>
      </c>
      <c r="G995" s="18">
        <v>0</v>
      </c>
      <c r="H995" s="18">
        <v>0</v>
      </c>
      <c r="I995" s="17">
        <v>18761.058719999997</v>
      </c>
      <c r="J995" s="32">
        <v>0</v>
      </c>
      <c r="K995" s="90" t="s">
        <v>291</v>
      </c>
    </row>
    <row r="996" spans="1:11" ht="29.45" customHeight="1" x14ac:dyDescent="0.25">
      <c r="A996" s="160" t="s">
        <v>21</v>
      </c>
      <c r="B996" s="160"/>
      <c r="C996" s="160"/>
      <c r="D996" s="10"/>
      <c r="E996" s="55"/>
      <c r="F996" s="96">
        <f>SUM(F994:F995)</f>
        <v>22169.723679999996</v>
      </c>
      <c r="G996" s="97">
        <f t="shared" ref="G996:I996" si="121">SUM(G994:G995)</f>
        <v>0</v>
      </c>
      <c r="H996" s="97">
        <f t="shared" si="121"/>
        <v>0</v>
      </c>
      <c r="I996" s="96">
        <f t="shared" si="121"/>
        <v>22169.723679999996</v>
      </c>
      <c r="J996" s="32">
        <v>0</v>
      </c>
      <c r="K996" s="2"/>
    </row>
    <row r="997" spans="1:11" ht="27.6" customHeight="1" x14ac:dyDescent="0.25">
      <c r="A997" s="20">
        <v>1</v>
      </c>
      <c r="B997" s="161" t="s">
        <v>1546</v>
      </c>
      <c r="C997" s="92" t="s">
        <v>1547</v>
      </c>
      <c r="D997" s="10" t="s">
        <v>1439</v>
      </c>
      <c r="E997" s="10" t="s">
        <v>23</v>
      </c>
      <c r="F997" s="17">
        <v>862.125</v>
      </c>
      <c r="G997" s="18">
        <v>0</v>
      </c>
      <c r="H997" s="17">
        <v>862.125</v>
      </c>
      <c r="I997" s="18">
        <v>0</v>
      </c>
      <c r="J997" s="32">
        <v>0</v>
      </c>
      <c r="K997" s="91" t="s">
        <v>1084</v>
      </c>
    </row>
    <row r="998" spans="1:11" ht="27.6" customHeight="1" x14ac:dyDescent="0.25">
      <c r="A998" s="20">
        <v>2</v>
      </c>
      <c r="B998" s="162"/>
      <c r="C998" s="92" t="s">
        <v>1548</v>
      </c>
      <c r="D998" s="10" t="s">
        <v>1442</v>
      </c>
      <c r="E998" s="10" t="s">
        <v>23</v>
      </c>
      <c r="F998" s="17">
        <v>825.36</v>
      </c>
      <c r="G998" s="18">
        <v>0</v>
      </c>
      <c r="H998" s="17">
        <v>825.36</v>
      </c>
      <c r="I998" s="18">
        <v>0</v>
      </c>
      <c r="J998" s="32">
        <v>0</v>
      </c>
      <c r="K998" s="91" t="s">
        <v>1084</v>
      </c>
    </row>
    <row r="999" spans="1:11" ht="27.6" customHeight="1" x14ac:dyDescent="0.25">
      <c r="A999" s="20">
        <v>3</v>
      </c>
      <c r="B999" s="162"/>
      <c r="C999" s="92" t="s">
        <v>1549</v>
      </c>
      <c r="D999" s="10" t="s">
        <v>1486</v>
      </c>
      <c r="E999" s="10" t="s">
        <v>23</v>
      </c>
      <c r="F999" s="17">
        <v>3787.3</v>
      </c>
      <c r="G999" s="18">
        <v>0</v>
      </c>
      <c r="H999" s="17">
        <v>3787.3</v>
      </c>
      <c r="I999" s="18">
        <v>0</v>
      </c>
      <c r="J999" s="32">
        <v>0</v>
      </c>
      <c r="K999" s="91" t="s">
        <v>1084</v>
      </c>
    </row>
    <row r="1000" spans="1:11" ht="27.6" customHeight="1" x14ac:dyDescent="0.25">
      <c r="A1000" s="20">
        <v>4</v>
      </c>
      <c r="B1000" s="162"/>
      <c r="C1000" s="92" t="s">
        <v>1550</v>
      </c>
      <c r="D1000" s="10" t="s">
        <v>1434</v>
      </c>
      <c r="E1000" s="10" t="s">
        <v>23</v>
      </c>
      <c r="F1000" s="17">
        <v>2066.7310000000002</v>
      </c>
      <c r="G1000" s="18">
        <v>0</v>
      </c>
      <c r="H1000" s="17">
        <v>2066.7310000000002</v>
      </c>
      <c r="I1000" s="18">
        <v>0</v>
      </c>
      <c r="J1000" s="32">
        <v>0</v>
      </c>
      <c r="K1000" s="91" t="s">
        <v>1084</v>
      </c>
    </row>
    <row r="1001" spans="1:11" ht="27.6" customHeight="1" x14ac:dyDescent="0.25">
      <c r="A1001" s="20">
        <v>5</v>
      </c>
      <c r="B1001" s="162"/>
      <c r="C1001" s="92" t="s">
        <v>1551</v>
      </c>
      <c r="D1001" s="10" t="s">
        <v>1458</v>
      </c>
      <c r="E1001" s="10" t="s">
        <v>23</v>
      </c>
      <c r="F1001" s="17">
        <v>3601.85</v>
      </c>
      <c r="G1001" s="18">
        <v>0</v>
      </c>
      <c r="H1001" s="17">
        <v>3601.85</v>
      </c>
      <c r="I1001" s="18">
        <v>0</v>
      </c>
      <c r="J1001" s="32">
        <v>0</v>
      </c>
      <c r="K1001" s="91" t="s">
        <v>1084</v>
      </c>
    </row>
    <row r="1002" spans="1:11" ht="27.6" customHeight="1" x14ac:dyDescent="0.25">
      <c r="A1002" s="20">
        <v>6</v>
      </c>
      <c r="B1002" s="162"/>
      <c r="C1002" s="92" t="s">
        <v>1552</v>
      </c>
      <c r="D1002" s="10" t="s">
        <v>1446</v>
      </c>
      <c r="E1002" s="10" t="s">
        <v>23</v>
      </c>
      <c r="F1002" s="17">
        <v>2006.8266999999998</v>
      </c>
      <c r="G1002" s="18">
        <v>0</v>
      </c>
      <c r="H1002" s="17">
        <v>2006.8266999999998</v>
      </c>
      <c r="I1002" s="18">
        <v>0</v>
      </c>
      <c r="J1002" s="32">
        <v>0</v>
      </c>
      <c r="K1002" s="91" t="s">
        <v>1084</v>
      </c>
    </row>
    <row r="1003" spans="1:11" ht="27.6" customHeight="1" x14ac:dyDescent="0.25">
      <c r="A1003" s="20">
        <v>7</v>
      </c>
      <c r="B1003" s="162"/>
      <c r="C1003" s="92" t="s">
        <v>1553</v>
      </c>
      <c r="D1003" s="10" t="s">
        <v>1554</v>
      </c>
      <c r="E1003" s="10" t="s">
        <v>23</v>
      </c>
      <c r="F1003" s="17">
        <v>2179.9780000000001</v>
      </c>
      <c r="G1003" s="18">
        <v>0</v>
      </c>
      <c r="H1003" s="17">
        <v>2179.9780000000001</v>
      </c>
      <c r="I1003" s="18">
        <v>0</v>
      </c>
      <c r="J1003" s="32">
        <v>0</v>
      </c>
      <c r="K1003" s="91" t="s">
        <v>1084</v>
      </c>
    </row>
    <row r="1004" spans="1:11" ht="27.6" customHeight="1" x14ac:dyDescent="0.25">
      <c r="A1004" s="20">
        <v>8</v>
      </c>
      <c r="B1004" s="163"/>
      <c r="C1004" s="92" t="s">
        <v>1555</v>
      </c>
      <c r="D1004" s="10" t="s">
        <v>266</v>
      </c>
      <c r="E1004" s="10" t="s">
        <v>23</v>
      </c>
      <c r="F1004" s="17">
        <v>1039.67174</v>
      </c>
      <c r="G1004" s="18">
        <v>0</v>
      </c>
      <c r="H1004" s="17">
        <v>1039.67174</v>
      </c>
      <c r="I1004" s="18">
        <v>0</v>
      </c>
      <c r="J1004" s="32">
        <v>0</v>
      </c>
      <c r="K1004" s="91" t="s">
        <v>1084</v>
      </c>
    </row>
    <row r="1005" spans="1:11" ht="32.450000000000003" customHeight="1" x14ac:dyDescent="0.25">
      <c r="A1005" s="160" t="s">
        <v>1443</v>
      </c>
      <c r="B1005" s="160"/>
      <c r="C1005" s="160"/>
      <c r="D1005" s="20"/>
      <c r="E1005" s="55"/>
      <c r="F1005" s="96">
        <f>SUM(F997:F1004)</f>
        <v>16369.842439999999</v>
      </c>
      <c r="G1005" s="97">
        <f>SUM(G997:G1004)</f>
        <v>0</v>
      </c>
      <c r="H1005" s="96">
        <f>SUM(H997:H1004)</f>
        <v>16369.842439999999</v>
      </c>
      <c r="I1005" s="97">
        <f>SUM(I997:I1004)</f>
        <v>0</v>
      </c>
      <c r="J1005" s="32">
        <v>0</v>
      </c>
      <c r="K1005" s="96"/>
    </row>
    <row r="1006" spans="1:11" ht="90" x14ac:dyDescent="0.25">
      <c r="A1006" s="20">
        <v>1</v>
      </c>
      <c r="B1006" s="2" t="s">
        <v>1546</v>
      </c>
      <c r="C1006" s="92" t="s">
        <v>1556</v>
      </c>
      <c r="D1006" s="10" t="s">
        <v>1434</v>
      </c>
      <c r="E1006" s="10" t="s">
        <v>23</v>
      </c>
      <c r="F1006" s="17">
        <v>20423.433000000001</v>
      </c>
      <c r="G1006" s="18">
        <v>0</v>
      </c>
      <c r="H1006" s="18">
        <v>0</v>
      </c>
      <c r="I1006" s="17">
        <v>20423.433000000001</v>
      </c>
      <c r="J1006" s="32">
        <v>0</v>
      </c>
      <c r="K1006" s="91" t="s">
        <v>438</v>
      </c>
    </row>
    <row r="1007" spans="1:11" ht="29.45" customHeight="1" x14ac:dyDescent="0.25">
      <c r="A1007" s="160" t="s">
        <v>21</v>
      </c>
      <c r="B1007" s="160"/>
      <c r="C1007" s="160"/>
      <c r="D1007" s="10"/>
      <c r="E1007" s="55"/>
      <c r="F1007" s="96">
        <f>SUM(F1006)</f>
        <v>20423.433000000001</v>
      </c>
      <c r="G1007" s="97">
        <f t="shared" ref="G1007:I1007" si="122">SUM(G1006)</f>
        <v>0</v>
      </c>
      <c r="H1007" s="97">
        <f t="shared" si="122"/>
        <v>0</v>
      </c>
      <c r="I1007" s="96">
        <f t="shared" si="122"/>
        <v>20423.433000000001</v>
      </c>
      <c r="J1007" s="32">
        <v>0</v>
      </c>
      <c r="K1007" s="2"/>
    </row>
    <row r="1008" spans="1:11" ht="30" customHeight="1" x14ac:dyDescent="0.25">
      <c r="A1008" s="2">
        <v>1</v>
      </c>
      <c r="B1008" s="161" t="s">
        <v>1557</v>
      </c>
      <c r="C1008" s="92" t="s">
        <v>1558</v>
      </c>
      <c r="D1008" s="10" t="s">
        <v>1559</v>
      </c>
      <c r="E1008" s="10" t="s">
        <v>23</v>
      </c>
      <c r="F1008" s="17">
        <v>459.8125</v>
      </c>
      <c r="G1008" s="18">
        <v>0</v>
      </c>
      <c r="H1008" s="17">
        <v>459.8125</v>
      </c>
      <c r="I1008" s="18">
        <v>0</v>
      </c>
      <c r="J1008" s="97">
        <v>0</v>
      </c>
      <c r="K1008" s="91" t="s">
        <v>1084</v>
      </c>
    </row>
    <row r="1009" spans="1:11" ht="30" customHeight="1" x14ac:dyDescent="0.25">
      <c r="A1009" s="2">
        <v>2</v>
      </c>
      <c r="B1009" s="162"/>
      <c r="C1009" s="92" t="s">
        <v>1560</v>
      </c>
      <c r="D1009" s="10" t="s">
        <v>1561</v>
      </c>
      <c r="E1009" s="10" t="s">
        <v>23</v>
      </c>
      <c r="F1009" s="17">
        <v>1138.8342500000001</v>
      </c>
      <c r="G1009" s="18">
        <v>0</v>
      </c>
      <c r="H1009" s="17">
        <v>535.92200000000003</v>
      </c>
      <c r="I1009" s="17">
        <v>602.91224999999997</v>
      </c>
      <c r="J1009" s="97">
        <v>0</v>
      </c>
      <c r="K1009" s="91" t="s">
        <v>1084</v>
      </c>
    </row>
    <row r="1010" spans="1:11" ht="30" customHeight="1" x14ac:dyDescent="0.25">
      <c r="A1010" s="2">
        <v>3</v>
      </c>
      <c r="B1010" s="162"/>
      <c r="C1010" s="92" t="s">
        <v>1562</v>
      </c>
      <c r="D1010" s="10" t="s">
        <v>1563</v>
      </c>
      <c r="E1010" s="10" t="s">
        <v>23</v>
      </c>
      <c r="F1010" s="17">
        <v>631.70467000000008</v>
      </c>
      <c r="G1010" s="18">
        <v>0</v>
      </c>
      <c r="H1010" s="17">
        <v>631.70467000000008</v>
      </c>
      <c r="I1010" s="18">
        <v>0</v>
      </c>
      <c r="J1010" s="97">
        <v>0</v>
      </c>
      <c r="K1010" s="91" t="s">
        <v>1084</v>
      </c>
    </row>
    <row r="1011" spans="1:11" ht="30" customHeight="1" x14ac:dyDescent="0.25">
      <c r="A1011" s="2">
        <v>4</v>
      </c>
      <c r="B1011" s="162"/>
      <c r="C1011" s="92" t="s">
        <v>1564</v>
      </c>
      <c r="D1011" s="10" t="s">
        <v>132</v>
      </c>
      <c r="E1011" s="10" t="s">
        <v>23</v>
      </c>
      <c r="F1011" s="17">
        <v>4505.82</v>
      </c>
      <c r="G1011" s="18">
        <v>0</v>
      </c>
      <c r="H1011" s="17">
        <v>1619.86</v>
      </c>
      <c r="I1011" s="17">
        <v>2885.96</v>
      </c>
      <c r="J1011" s="97">
        <v>0</v>
      </c>
      <c r="K1011" s="90" t="s">
        <v>1429</v>
      </c>
    </row>
    <row r="1012" spans="1:11" ht="30" customHeight="1" x14ac:dyDescent="0.25">
      <c r="A1012" s="2">
        <v>5</v>
      </c>
      <c r="B1012" s="162"/>
      <c r="C1012" s="92" t="s">
        <v>1565</v>
      </c>
      <c r="D1012" s="10" t="s">
        <v>132</v>
      </c>
      <c r="E1012" s="10" t="s">
        <v>23</v>
      </c>
      <c r="F1012" s="17">
        <v>3807.6</v>
      </c>
      <c r="G1012" s="17">
        <v>1045.4749999999999</v>
      </c>
      <c r="H1012" s="17">
        <v>2762.125</v>
      </c>
      <c r="I1012" s="18">
        <v>0</v>
      </c>
      <c r="J1012" s="97">
        <v>0</v>
      </c>
      <c r="K1012" s="90" t="s">
        <v>1470</v>
      </c>
    </row>
    <row r="1013" spans="1:11" ht="30" customHeight="1" x14ac:dyDescent="0.25">
      <c r="A1013" s="2">
        <v>6</v>
      </c>
      <c r="B1013" s="162"/>
      <c r="C1013" s="92" t="s">
        <v>1566</v>
      </c>
      <c r="D1013" s="10" t="s">
        <v>1486</v>
      </c>
      <c r="E1013" s="10" t="s">
        <v>23</v>
      </c>
      <c r="F1013" s="17">
        <v>3565.7</v>
      </c>
      <c r="G1013" s="18">
        <v>0</v>
      </c>
      <c r="H1013" s="17">
        <v>3565.7</v>
      </c>
      <c r="I1013" s="18">
        <v>0</v>
      </c>
      <c r="J1013" s="97">
        <v>0</v>
      </c>
      <c r="K1013" s="91" t="s">
        <v>1084</v>
      </c>
    </row>
    <row r="1014" spans="1:11" ht="30" customHeight="1" x14ac:dyDescent="0.25">
      <c r="A1014" s="2">
        <v>7</v>
      </c>
      <c r="B1014" s="162"/>
      <c r="C1014" s="92" t="s">
        <v>1567</v>
      </c>
      <c r="D1014" s="10" t="s">
        <v>1442</v>
      </c>
      <c r="E1014" s="10" t="s">
        <v>23</v>
      </c>
      <c r="F1014" s="17">
        <v>765.2</v>
      </c>
      <c r="G1014" s="18">
        <v>0</v>
      </c>
      <c r="H1014" s="17">
        <v>765.2</v>
      </c>
      <c r="I1014" s="18">
        <v>0</v>
      </c>
      <c r="J1014" s="97">
        <v>0</v>
      </c>
      <c r="K1014" s="91" t="s">
        <v>1084</v>
      </c>
    </row>
    <row r="1015" spans="1:11" ht="30" customHeight="1" x14ac:dyDescent="0.25">
      <c r="A1015" s="2">
        <v>8</v>
      </c>
      <c r="B1015" s="162"/>
      <c r="C1015" s="92" t="s">
        <v>1568</v>
      </c>
      <c r="D1015" s="10" t="s">
        <v>1434</v>
      </c>
      <c r="E1015" s="10" t="s">
        <v>23</v>
      </c>
      <c r="F1015" s="17">
        <v>1173.04</v>
      </c>
      <c r="G1015" s="18">
        <v>0</v>
      </c>
      <c r="H1015" s="17">
        <v>1173.04</v>
      </c>
      <c r="I1015" s="18">
        <v>0</v>
      </c>
      <c r="J1015" s="97">
        <v>0</v>
      </c>
      <c r="K1015" s="91" t="s">
        <v>1084</v>
      </c>
    </row>
    <row r="1016" spans="1:11" ht="30" customHeight="1" x14ac:dyDescent="0.25">
      <c r="A1016" s="2">
        <v>9</v>
      </c>
      <c r="B1016" s="162"/>
      <c r="C1016" s="92" t="s">
        <v>1569</v>
      </c>
      <c r="D1016" s="10" t="s">
        <v>1570</v>
      </c>
      <c r="E1016" s="10" t="s">
        <v>23</v>
      </c>
      <c r="F1016" s="17">
        <v>3892.84</v>
      </c>
      <c r="G1016" s="18">
        <v>0</v>
      </c>
      <c r="H1016" s="17">
        <v>3892.84</v>
      </c>
      <c r="I1016" s="18">
        <v>0</v>
      </c>
      <c r="J1016" s="97">
        <v>0</v>
      </c>
      <c r="K1016" s="91" t="s">
        <v>1084</v>
      </c>
    </row>
    <row r="1017" spans="1:11" ht="30" customHeight="1" x14ac:dyDescent="0.25">
      <c r="A1017" s="2">
        <v>10</v>
      </c>
      <c r="B1017" s="163"/>
      <c r="C1017" s="92" t="s">
        <v>1571</v>
      </c>
      <c r="D1017" s="10" t="s">
        <v>1434</v>
      </c>
      <c r="E1017" s="10" t="s">
        <v>23</v>
      </c>
      <c r="F1017" s="17">
        <v>1944</v>
      </c>
      <c r="G1017" s="18">
        <v>0</v>
      </c>
      <c r="H1017" s="17">
        <v>1944</v>
      </c>
      <c r="I1017" s="18">
        <v>0</v>
      </c>
      <c r="J1017" s="97">
        <v>0</v>
      </c>
      <c r="K1017" s="91" t="s">
        <v>1084</v>
      </c>
    </row>
    <row r="1018" spans="1:11" x14ac:dyDescent="0.25">
      <c r="A1018" s="173" t="s">
        <v>1443</v>
      </c>
      <c r="B1018" s="173"/>
      <c r="C1018" s="173"/>
      <c r="D1018" s="2"/>
      <c r="E1018" s="27"/>
      <c r="F1018" s="17">
        <f>SUM(F1008:F1017)</f>
        <v>21884.55142</v>
      </c>
      <c r="G1018" s="17">
        <f t="shared" ref="G1018:I1018" si="123">SUM(G1008:G1017)</f>
        <v>1045.4749999999999</v>
      </c>
      <c r="H1018" s="17">
        <f t="shared" si="123"/>
        <v>17350.204170000001</v>
      </c>
      <c r="I1018" s="17">
        <f t="shared" si="123"/>
        <v>3488.8722499999999</v>
      </c>
      <c r="J1018" s="32">
        <v>0</v>
      </c>
      <c r="K1018" s="17"/>
    </row>
    <row r="1019" spans="1:11" ht="28.15" customHeight="1" x14ac:dyDescent="0.25">
      <c r="A1019" s="2">
        <v>1</v>
      </c>
      <c r="B1019" s="161" t="s">
        <v>1557</v>
      </c>
      <c r="C1019" s="92" t="s">
        <v>1572</v>
      </c>
      <c r="D1019" s="10" t="s">
        <v>1483</v>
      </c>
      <c r="E1019" s="10" t="s">
        <v>23</v>
      </c>
      <c r="F1019" s="17">
        <v>65.625</v>
      </c>
      <c r="G1019" s="18">
        <v>0</v>
      </c>
      <c r="H1019" s="17">
        <v>65.625</v>
      </c>
      <c r="I1019" s="18">
        <v>0</v>
      </c>
      <c r="J1019" s="32">
        <v>0</v>
      </c>
      <c r="K1019" s="91" t="s">
        <v>424</v>
      </c>
    </row>
    <row r="1020" spans="1:11" ht="28.15" customHeight="1" x14ac:dyDescent="0.25">
      <c r="A1020" s="2">
        <v>2</v>
      </c>
      <c r="B1020" s="162"/>
      <c r="C1020" s="92" t="s">
        <v>1573</v>
      </c>
      <c r="D1020" s="10" t="s">
        <v>1574</v>
      </c>
      <c r="E1020" s="10" t="s">
        <v>23</v>
      </c>
      <c r="F1020" s="17">
        <v>459.8125</v>
      </c>
      <c r="G1020" s="18">
        <v>0</v>
      </c>
      <c r="H1020" s="18">
        <v>0</v>
      </c>
      <c r="I1020" s="17">
        <v>459.8125</v>
      </c>
      <c r="J1020" s="32">
        <v>0</v>
      </c>
      <c r="K1020" s="91" t="s">
        <v>73</v>
      </c>
    </row>
    <row r="1021" spans="1:11" ht="28.15" customHeight="1" x14ac:dyDescent="0.25">
      <c r="A1021" s="2">
        <v>3</v>
      </c>
      <c r="B1021" s="162"/>
      <c r="C1021" s="92" t="s">
        <v>1575</v>
      </c>
      <c r="D1021" s="10" t="s">
        <v>1576</v>
      </c>
      <c r="E1021" s="10" t="s">
        <v>23</v>
      </c>
      <c r="F1021" s="17">
        <v>535.72199999999998</v>
      </c>
      <c r="G1021" s="18">
        <v>0</v>
      </c>
      <c r="H1021" s="18">
        <v>0</v>
      </c>
      <c r="I1021" s="17">
        <v>535.72199999999998</v>
      </c>
      <c r="J1021" s="32">
        <v>0</v>
      </c>
      <c r="K1021" s="91" t="s">
        <v>73</v>
      </c>
    </row>
    <row r="1022" spans="1:11" ht="28.15" customHeight="1" x14ac:dyDescent="0.25">
      <c r="A1022" s="2">
        <v>4</v>
      </c>
      <c r="B1022" s="163"/>
      <c r="C1022" s="92" t="s">
        <v>1577</v>
      </c>
      <c r="D1022" s="10" t="s">
        <v>1578</v>
      </c>
      <c r="E1022" s="10" t="s">
        <v>23</v>
      </c>
      <c r="F1022" s="17">
        <v>638.6</v>
      </c>
      <c r="G1022" s="18">
        <v>0</v>
      </c>
      <c r="H1022" s="18">
        <v>0</v>
      </c>
      <c r="I1022" s="17">
        <v>638.6</v>
      </c>
      <c r="J1022" s="32">
        <v>0</v>
      </c>
      <c r="K1022" s="91" t="s">
        <v>75</v>
      </c>
    </row>
    <row r="1023" spans="1:11" x14ac:dyDescent="0.25">
      <c r="A1023" s="173" t="s">
        <v>20</v>
      </c>
      <c r="B1023" s="173"/>
      <c r="C1023" s="173"/>
      <c r="D1023" s="10"/>
      <c r="E1023" s="27"/>
      <c r="F1023" s="17">
        <f>SUM(F1019:F1022)</f>
        <v>1699.7595000000001</v>
      </c>
      <c r="G1023" s="18">
        <f>(SUM(G1019:G1022))/1000</f>
        <v>0</v>
      </c>
      <c r="H1023" s="17">
        <f>SUM(H1019:H1022)</f>
        <v>65.625</v>
      </c>
      <c r="I1023" s="17">
        <f>SUM(I1019:I1022)</f>
        <v>1634.1345000000001</v>
      </c>
      <c r="J1023" s="32">
        <v>0</v>
      </c>
      <c r="K1023" s="2"/>
    </row>
    <row r="1024" spans="1:11" ht="90" x14ac:dyDescent="0.25">
      <c r="A1024" s="2">
        <v>1</v>
      </c>
      <c r="B1024" s="2" t="s">
        <v>1557</v>
      </c>
      <c r="C1024" s="92" t="s">
        <v>1579</v>
      </c>
      <c r="D1024" s="10" t="s">
        <v>1483</v>
      </c>
      <c r="E1024" s="10" t="s">
        <v>23</v>
      </c>
      <c r="F1024" s="17">
        <v>65.625</v>
      </c>
      <c r="G1024" s="18">
        <v>0</v>
      </c>
      <c r="H1024" s="18">
        <v>0</v>
      </c>
      <c r="I1024" s="17">
        <v>65.625</v>
      </c>
      <c r="J1024" s="32">
        <v>0</v>
      </c>
      <c r="K1024" s="91" t="s">
        <v>117</v>
      </c>
    </row>
    <row r="1025" spans="1:11" x14ac:dyDescent="0.25">
      <c r="A1025" s="173" t="s">
        <v>21</v>
      </c>
      <c r="B1025" s="173"/>
      <c r="C1025" s="173"/>
      <c r="D1025" s="10"/>
      <c r="E1025" s="27"/>
      <c r="F1025" s="17">
        <f>SUM(F1024)</f>
        <v>65.625</v>
      </c>
      <c r="G1025" s="18">
        <f t="shared" ref="G1025:I1025" si="124">SUM(G1024)</f>
        <v>0</v>
      </c>
      <c r="H1025" s="18">
        <f t="shared" si="124"/>
        <v>0</v>
      </c>
      <c r="I1025" s="17">
        <f t="shared" si="124"/>
        <v>65.625</v>
      </c>
      <c r="J1025" s="32">
        <v>0</v>
      </c>
      <c r="K1025" s="2"/>
    </row>
    <row r="1026" spans="1:11" ht="29.45" customHeight="1" x14ac:dyDescent="0.25">
      <c r="A1026" s="2">
        <v>1</v>
      </c>
      <c r="B1026" s="161" t="s">
        <v>1580</v>
      </c>
      <c r="C1026" s="92" t="s">
        <v>1581</v>
      </c>
      <c r="D1026" s="10" t="s">
        <v>1458</v>
      </c>
      <c r="E1026" s="10" t="s">
        <v>23</v>
      </c>
      <c r="F1026" s="17">
        <v>556</v>
      </c>
      <c r="G1026" s="17">
        <v>556</v>
      </c>
      <c r="H1026" s="18">
        <v>0</v>
      </c>
      <c r="I1026" s="18">
        <v>0</v>
      </c>
      <c r="J1026" s="32">
        <v>0</v>
      </c>
      <c r="K1026" s="90" t="s">
        <v>1084</v>
      </c>
    </row>
    <row r="1027" spans="1:11" ht="29.45" customHeight="1" x14ac:dyDescent="0.25">
      <c r="A1027" s="2">
        <v>2</v>
      </c>
      <c r="B1027" s="162"/>
      <c r="C1027" s="92" t="s">
        <v>1582</v>
      </c>
      <c r="D1027" s="10" t="s">
        <v>1583</v>
      </c>
      <c r="E1027" s="10" t="s">
        <v>23</v>
      </c>
      <c r="F1027" s="17">
        <v>142.19999999999999</v>
      </c>
      <c r="G1027" s="17">
        <v>142.19999999999999</v>
      </c>
      <c r="H1027" s="18">
        <v>0</v>
      </c>
      <c r="I1027" s="18">
        <v>0</v>
      </c>
      <c r="J1027" s="32">
        <v>0</v>
      </c>
      <c r="K1027" s="90" t="s">
        <v>1084</v>
      </c>
    </row>
    <row r="1028" spans="1:11" ht="29.45" customHeight="1" x14ac:dyDescent="0.25">
      <c r="A1028" s="2">
        <v>3</v>
      </c>
      <c r="B1028" s="162"/>
      <c r="C1028" s="92" t="s">
        <v>1584</v>
      </c>
      <c r="D1028" s="10" t="s">
        <v>1458</v>
      </c>
      <c r="E1028" s="10" t="s">
        <v>23</v>
      </c>
      <c r="F1028" s="17">
        <v>3424.72</v>
      </c>
      <c r="G1028" s="18">
        <v>0</v>
      </c>
      <c r="H1028" s="17">
        <v>3424.72</v>
      </c>
      <c r="I1028" s="18">
        <v>0</v>
      </c>
      <c r="J1028" s="32">
        <v>0</v>
      </c>
      <c r="K1028" s="90" t="s">
        <v>1084</v>
      </c>
    </row>
    <row r="1029" spans="1:11" ht="29.45" customHeight="1" x14ac:dyDescent="0.25">
      <c r="A1029" s="2">
        <v>4</v>
      </c>
      <c r="B1029" s="162"/>
      <c r="C1029" s="92" t="s">
        <v>1585</v>
      </c>
      <c r="D1029" s="10" t="s">
        <v>1434</v>
      </c>
      <c r="E1029" s="10" t="s">
        <v>23</v>
      </c>
      <c r="F1029" s="17">
        <v>2298.364</v>
      </c>
      <c r="G1029" s="18">
        <v>0</v>
      </c>
      <c r="H1029" s="17">
        <v>2298.364</v>
      </c>
      <c r="I1029" s="18">
        <v>0</v>
      </c>
      <c r="J1029" s="32">
        <v>0</v>
      </c>
      <c r="K1029" s="90" t="s">
        <v>1084</v>
      </c>
    </row>
    <row r="1030" spans="1:11" ht="29.45" customHeight="1" x14ac:dyDescent="0.25">
      <c r="A1030" s="2">
        <v>5</v>
      </c>
      <c r="B1030" s="162"/>
      <c r="C1030" s="92" t="s">
        <v>1586</v>
      </c>
      <c r="D1030" s="10" t="s">
        <v>132</v>
      </c>
      <c r="E1030" s="10" t="s">
        <v>23</v>
      </c>
      <c r="F1030" s="17">
        <v>3847.68</v>
      </c>
      <c r="G1030" s="18">
        <v>0</v>
      </c>
      <c r="H1030" s="17">
        <v>3847.68</v>
      </c>
      <c r="I1030" s="18">
        <v>0</v>
      </c>
      <c r="J1030" s="32">
        <v>0</v>
      </c>
      <c r="K1030" s="90" t="s">
        <v>1084</v>
      </c>
    </row>
    <row r="1031" spans="1:11" ht="29.45" customHeight="1" x14ac:dyDescent="0.25">
      <c r="A1031" s="2">
        <v>6</v>
      </c>
      <c r="B1031" s="163"/>
      <c r="C1031" s="92" t="s">
        <v>1587</v>
      </c>
      <c r="D1031" s="10" t="s">
        <v>1446</v>
      </c>
      <c r="E1031" s="10" t="s">
        <v>23</v>
      </c>
      <c r="F1031" s="17">
        <v>335.75</v>
      </c>
      <c r="G1031" s="17">
        <v>335.75</v>
      </c>
      <c r="H1031" s="18">
        <v>0</v>
      </c>
      <c r="I1031" s="18">
        <v>0</v>
      </c>
      <c r="J1031" s="32">
        <v>0</v>
      </c>
      <c r="K1031" s="90" t="s">
        <v>1084</v>
      </c>
    </row>
    <row r="1032" spans="1:11" ht="21.6" customHeight="1" x14ac:dyDescent="0.25">
      <c r="A1032" s="173" t="s">
        <v>1443</v>
      </c>
      <c r="B1032" s="173"/>
      <c r="C1032" s="173"/>
      <c r="D1032" s="2"/>
      <c r="E1032" s="27"/>
      <c r="F1032" s="17">
        <f>SUM(F1026:F1031)</f>
        <v>10604.714</v>
      </c>
      <c r="G1032" s="17">
        <f>SUM(G1026:G1031)</f>
        <v>1033.95</v>
      </c>
      <c r="H1032" s="17">
        <f>SUM(H1026:H1031)</f>
        <v>9570.7639999999992</v>
      </c>
      <c r="I1032" s="18">
        <f>SUM(I1026:I1031)</f>
        <v>0</v>
      </c>
      <c r="J1032" s="32">
        <v>0</v>
      </c>
      <c r="K1032" s="17"/>
    </row>
    <row r="1033" spans="1:11" ht="90" x14ac:dyDescent="0.25">
      <c r="A1033" s="2">
        <v>1</v>
      </c>
      <c r="B1033" s="2" t="s">
        <v>1580</v>
      </c>
      <c r="C1033" s="92" t="s">
        <v>1588</v>
      </c>
      <c r="D1033" s="10" t="s">
        <v>1542</v>
      </c>
      <c r="E1033" s="10" t="s">
        <v>23</v>
      </c>
      <c r="F1033" s="17">
        <v>10521.431480000001</v>
      </c>
      <c r="G1033" s="18">
        <v>0</v>
      </c>
      <c r="H1033" s="17">
        <v>10521.431480000001</v>
      </c>
      <c r="I1033" s="18">
        <v>0</v>
      </c>
      <c r="J1033" s="32">
        <v>0</v>
      </c>
      <c r="K1033" s="90" t="s">
        <v>65</v>
      </c>
    </row>
    <row r="1034" spans="1:11" ht="30.6" customHeight="1" x14ac:dyDescent="0.25">
      <c r="A1034" s="173" t="s">
        <v>20</v>
      </c>
      <c r="B1034" s="173"/>
      <c r="C1034" s="173"/>
      <c r="D1034" s="10"/>
      <c r="E1034" s="27"/>
      <c r="F1034" s="17">
        <f>SUM(F1033)</f>
        <v>10521.431480000001</v>
      </c>
      <c r="G1034" s="18">
        <f t="shared" ref="G1034:I1034" si="125">SUM(G1033)</f>
        <v>0</v>
      </c>
      <c r="H1034" s="17">
        <f t="shared" si="125"/>
        <v>10521.431480000001</v>
      </c>
      <c r="I1034" s="18">
        <f t="shared" si="125"/>
        <v>0</v>
      </c>
      <c r="J1034" s="32">
        <v>0</v>
      </c>
      <c r="K1034" s="2"/>
    </row>
    <row r="1035" spans="1:11" ht="59.45" customHeight="1" x14ac:dyDescent="0.25">
      <c r="A1035" s="2">
        <v>1</v>
      </c>
      <c r="B1035" s="2" t="s">
        <v>1580</v>
      </c>
      <c r="C1035" s="92" t="s">
        <v>1589</v>
      </c>
      <c r="D1035" s="10" t="s">
        <v>1542</v>
      </c>
      <c r="E1035" s="10" t="s">
        <v>23</v>
      </c>
      <c r="F1035" s="17">
        <f>10521431.48/1000</f>
        <v>10521.431480000001</v>
      </c>
      <c r="G1035" s="18">
        <v>0</v>
      </c>
      <c r="H1035" s="18">
        <v>0</v>
      </c>
      <c r="I1035" s="17">
        <f t="shared" ref="I1035" si="126">10521431.48/1000</f>
        <v>10521.431480000001</v>
      </c>
      <c r="J1035" s="32">
        <v>0</v>
      </c>
      <c r="K1035" s="90" t="s">
        <v>109</v>
      </c>
    </row>
    <row r="1036" spans="1:11" ht="22.9" customHeight="1" x14ac:dyDescent="0.25">
      <c r="A1036" s="173" t="s">
        <v>21</v>
      </c>
      <c r="B1036" s="173"/>
      <c r="C1036" s="173"/>
      <c r="D1036" s="10"/>
      <c r="E1036" s="27"/>
      <c r="F1036" s="17">
        <f>SUM(F1035)</f>
        <v>10521.431480000001</v>
      </c>
      <c r="G1036" s="18">
        <f t="shared" ref="G1036:I1036" si="127">SUM(G1035)</f>
        <v>0</v>
      </c>
      <c r="H1036" s="18">
        <f t="shared" si="127"/>
        <v>0</v>
      </c>
      <c r="I1036" s="17">
        <f t="shared" si="127"/>
        <v>10521.431480000001</v>
      </c>
      <c r="J1036" s="32">
        <v>0</v>
      </c>
      <c r="K1036" s="2"/>
    </row>
    <row r="1037" spans="1:11" ht="28.9" customHeight="1" x14ac:dyDescent="0.25">
      <c r="A1037" s="2">
        <v>1</v>
      </c>
      <c r="B1037" s="161" t="s">
        <v>1590</v>
      </c>
      <c r="C1037" s="92" t="s">
        <v>1591</v>
      </c>
      <c r="D1037" s="10" t="s">
        <v>1592</v>
      </c>
      <c r="E1037" s="10" t="s">
        <v>23</v>
      </c>
      <c r="F1037" s="17">
        <v>2132.46</v>
      </c>
      <c r="G1037" s="18">
        <v>0</v>
      </c>
      <c r="H1037" s="17">
        <v>2132.46</v>
      </c>
      <c r="I1037" s="18">
        <v>0</v>
      </c>
      <c r="J1037" s="32">
        <v>0</v>
      </c>
      <c r="K1037" s="90" t="s">
        <v>1084</v>
      </c>
    </row>
    <row r="1038" spans="1:11" ht="28.9" customHeight="1" x14ac:dyDescent="0.25">
      <c r="A1038" s="2">
        <v>2</v>
      </c>
      <c r="B1038" s="162"/>
      <c r="C1038" s="109" t="s">
        <v>1593</v>
      </c>
      <c r="D1038" s="10" t="s">
        <v>1436</v>
      </c>
      <c r="E1038" s="10" t="s">
        <v>23</v>
      </c>
      <c r="F1038" s="17">
        <v>934.45</v>
      </c>
      <c r="G1038" s="18">
        <v>0</v>
      </c>
      <c r="H1038" s="17">
        <v>934.45</v>
      </c>
      <c r="I1038" s="18">
        <v>0</v>
      </c>
      <c r="J1038" s="32">
        <v>0</v>
      </c>
      <c r="K1038" s="90" t="s">
        <v>1084</v>
      </c>
    </row>
    <row r="1039" spans="1:11" ht="28.9" customHeight="1" x14ac:dyDescent="0.25">
      <c r="A1039" s="2">
        <v>3</v>
      </c>
      <c r="B1039" s="162"/>
      <c r="C1039" s="109" t="s">
        <v>1594</v>
      </c>
      <c r="D1039" s="10" t="s">
        <v>1595</v>
      </c>
      <c r="E1039" s="10" t="s">
        <v>23</v>
      </c>
      <c r="F1039" s="17">
        <v>2677.4</v>
      </c>
      <c r="G1039" s="18">
        <v>0</v>
      </c>
      <c r="H1039" s="17">
        <v>2677.4</v>
      </c>
      <c r="I1039" s="18">
        <v>0</v>
      </c>
      <c r="J1039" s="32">
        <v>0</v>
      </c>
      <c r="K1039" s="90" t="s">
        <v>1084</v>
      </c>
    </row>
    <row r="1040" spans="1:11" ht="28.9" customHeight="1" x14ac:dyDescent="0.25">
      <c r="A1040" s="2">
        <v>4</v>
      </c>
      <c r="B1040" s="162"/>
      <c r="C1040" s="109" t="s">
        <v>1596</v>
      </c>
      <c r="D1040" s="10" t="s">
        <v>1597</v>
      </c>
      <c r="E1040" s="10" t="s">
        <v>23</v>
      </c>
      <c r="F1040" s="17">
        <v>4.3999999999999997E-2</v>
      </c>
      <c r="G1040" s="17">
        <v>4.3999999999999997E-2</v>
      </c>
      <c r="H1040" s="18">
        <v>0</v>
      </c>
      <c r="I1040" s="18">
        <v>0</v>
      </c>
      <c r="J1040" s="32">
        <v>0</v>
      </c>
      <c r="K1040" s="90" t="s">
        <v>1084</v>
      </c>
    </row>
    <row r="1041" spans="1:11" ht="28.9" customHeight="1" x14ac:dyDescent="0.25">
      <c r="A1041" s="2">
        <v>5</v>
      </c>
      <c r="B1041" s="162"/>
      <c r="C1041" s="109" t="s">
        <v>1598</v>
      </c>
      <c r="D1041" s="10" t="s">
        <v>1599</v>
      </c>
      <c r="E1041" s="10" t="s">
        <v>23</v>
      </c>
      <c r="F1041" s="17">
        <v>385.76</v>
      </c>
      <c r="G1041" s="17">
        <v>385.76</v>
      </c>
      <c r="H1041" s="18">
        <v>0</v>
      </c>
      <c r="I1041" s="18">
        <v>0</v>
      </c>
      <c r="J1041" s="32">
        <v>0</v>
      </c>
      <c r="K1041" s="90" t="s">
        <v>1084</v>
      </c>
    </row>
    <row r="1042" spans="1:11" ht="28.9" customHeight="1" x14ac:dyDescent="0.25">
      <c r="A1042" s="2">
        <v>6</v>
      </c>
      <c r="B1042" s="162"/>
      <c r="C1042" s="109" t="s">
        <v>1600</v>
      </c>
      <c r="D1042" s="10" t="s">
        <v>132</v>
      </c>
      <c r="E1042" s="10" t="s">
        <v>23</v>
      </c>
      <c r="F1042" s="17">
        <v>175.44</v>
      </c>
      <c r="G1042" s="18">
        <v>0</v>
      </c>
      <c r="H1042" s="17">
        <v>87.29</v>
      </c>
      <c r="I1042" s="17">
        <v>88.15</v>
      </c>
      <c r="J1042" s="32">
        <v>0</v>
      </c>
      <c r="K1042" s="90" t="s">
        <v>1084</v>
      </c>
    </row>
    <row r="1043" spans="1:11" ht="28.9" customHeight="1" x14ac:dyDescent="0.25">
      <c r="A1043" s="2">
        <v>7</v>
      </c>
      <c r="B1043" s="162"/>
      <c r="C1043" s="109" t="s">
        <v>1601</v>
      </c>
      <c r="D1043" s="10" t="s">
        <v>266</v>
      </c>
      <c r="E1043" s="10" t="s">
        <v>23</v>
      </c>
      <c r="F1043" s="17">
        <v>664</v>
      </c>
      <c r="G1043" s="18">
        <v>0</v>
      </c>
      <c r="H1043" s="17">
        <v>332</v>
      </c>
      <c r="I1043" s="17">
        <v>332</v>
      </c>
      <c r="J1043" s="32">
        <v>0</v>
      </c>
      <c r="K1043" s="90" t="s">
        <v>1084</v>
      </c>
    </row>
    <row r="1044" spans="1:11" ht="28.9" customHeight="1" x14ac:dyDescent="0.25">
      <c r="A1044" s="2">
        <v>8</v>
      </c>
      <c r="B1044" s="162"/>
      <c r="C1044" s="109" t="s">
        <v>1602</v>
      </c>
      <c r="D1044" s="10" t="s">
        <v>1603</v>
      </c>
      <c r="E1044" s="10" t="s">
        <v>23</v>
      </c>
      <c r="F1044" s="17">
        <v>772.30591000000004</v>
      </c>
      <c r="G1044" s="18">
        <v>0</v>
      </c>
      <c r="H1044" s="17">
        <v>772.30591000000004</v>
      </c>
      <c r="I1044" s="18">
        <v>0</v>
      </c>
      <c r="J1044" s="32">
        <v>0</v>
      </c>
      <c r="K1044" s="90" t="s">
        <v>1084</v>
      </c>
    </row>
    <row r="1045" spans="1:11" ht="28.9" customHeight="1" x14ac:dyDescent="0.25">
      <c r="A1045" s="2">
        <v>9</v>
      </c>
      <c r="B1045" s="163"/>
      <c r="C1045" s="109" t="s">
        <v>1604</v>
      </c>
      <c r="D1045" s="10" t="s">
        <v>1605</v>
      </c>
      <c r="E1045" s="10" t="s">
        <v>23</v>
      </c>
      <c r="F1045" s="17">
        <v>350</v>
      </c>
      <c r="G1045" s="18">
        <v>0</v>
      </c>
      <c r="H1045" s="17">
        <v>350</v>
      </c>
      <c r="I1045" s="18">
        <v>0</v>
      </c>
      <c r="J1045" s="32">
        <v>0</v>
      </c>
      <c r="K1045" s="90" t="s">
        <v>1084</v>
      </c>
    </row>
    <row r="1046" spans="1:11" ht="31.15" customHeight="1" x14ac:dyDescent="0.25">
      <c r="A1046" s="160" t="s">
        <v>1443</v>
      </c>
      <c r="B1046" s="160"/>
      <c r="C1046" s="160"/>
      <c r="D1046" s="20"/>
      <c r="E1046" s="55"/>
      <c r="F1046" s="96">
        <f>SUM(F1037:F1045)</f>
        <v>8091.8599099999992</v>
      </c>
      <c r="G1046" s="96">
        <f>SUM(G1037:G1045)</f>
        <v>385.80399999999997</v>
      </c>
      <c r="H1046" s="96">
        <f>SUM(H1037:H1045)</f>
        <v>7285.9059099999995</v>
      </c>
      <c r="I1046" s="96">
        <f>SUM(I1037:I1045)</f>
        <v>420.15</v>
      </c>
      <c r="J1046" s="32">
        <v>0</v>
      </c>
      <c r="K1046" s="96"/>
    </row>
    <row r="1047" spans="1:11" ht="90" x14ac:dyDescent="0.25">
      <c r="A1047" s="2">
        <v>1</v>
      </c>
      <c r="B1047" s="2" t="s">
        <v>1590</v>
      </c>
      <c r="C1047" s="92" t="s">
        <v>1606</v>
      </c>
      <c r="D1047" s="10" t="s">
        <v>1434</v>
      </c>
      <c r="E1047" s="10" t="s">
        <v>23</v>
      </c>
      <c r="F1047" s="17">
        <v>2572.5650000000001</v>
      </c>
      <c r="G1047" s="18">
        <v>0</v>
      </c>
      <c r="H1047" s="17">
        <v>2572.5650000000001</v>
      </c>
      <c r="I1047" s="18">
        <v>0</v>
      </c>
      <c r="J1047" s="32">
        <v>0</v>
      </c>
      <c r="K1047" s="90" t="s">
        <v>284</v>
      </c>
    </row>
    <row r="1048" spans="1:11" ht="32.450000000000003" customHeight="1" x14ac:dyDescent="0.25">
      <c r="A1048" s="160" t="s">
        <v>20</v>
      </c>
      <c r="B1048" s="160"/>
      <c r="C1048" s="160"/>
      <c r="D1048" s="110"/>
      <c r="E1048" s="55"/>
      <c r="F1048" s="96">
        <f>SUM(F1047)</f>
        <v>2572.5650000000001</v>
      </c>
      <c r="G1048" s="97">
        <f t="shared" ref="G1048:I1048" si="128">SUM(G1047)</f>
        <v>0</v>
      </c>
      <c r="H1048" s="96">
        <f t="shared" si="128"/>
        <v>2572.5650000000001</v>
      </c>
      <c r="I1048" s="97">
        <f t="shared" si="128"/>
        <v>0</v>
      </c>
      <c r="J1048" s="32">
        <v>0</v>
      </c>
      <c r="K1048" s="2"/>
    </row>
    <row r="1049" spans="1:11" ht="90" x14ac:dyDescent="0.25">
      <c r="A1049" s="2">
        <v>1</v>
      </c>
      <c r="B1049" s="2" t="s">
        <v>1590</v>
      </c>
      <c r="C1049" s="92" t="s">
        <v>1607</v>
      </c>
      <c r="D1049" s="10" t="s">
        <v>1608</v>
      </c>
      <c r="E1049" s="10" t="s">
        <v>23</v>
      </c>
      <c r="F1049" s="17">
        <v>10560.37</v>
      </c>
      <c r="G1049" s="18">
        <v>0</v>
      </c>
      <c r="H1049" s="18">
        <v>0</v>
      </c>
      <c r="I1049" s="17">
        <v>10560.37</v>
      </c>
      <c r="J1049" s="32">
        <v>0</v>
      </c>
      <c r="K1049" s="90" t="s">
        <v>291</v>
      </c>
    </row>
    <row r="1050" spans="1:11" ht="30.6" customHeight="1" x14ac:dyDescent="0.25">
      <c r="A1050" s="160" t="s">
        <v>21</v>
      </c>
      <c r="B1050" s="160"/>
      <c r="C1050" s="160"/>
      <c r="D1050" s="110"/>
      <c r="E1050" s="55"/>
      <c r="F1050" s="96">
        <f>SUM(F1049)</f>
        <v>10560.37</v>
      </c>
      <c r="G1050" s="97">
        <f t="shared" ref="G1050:I1050" si="129">SUM(G1049)</f>
        <v>0</v>
      </c>
      <c r="H1050" s="97">
        <f t="shared" si="129"/>
        <v>0</v>
      </c>
      <c r="I1050" s="96">
        <f t="shared" si="129"/>
        <v>10560.37</v>
      </c>
      <c r="J1050" s="32">
        <v>0</v>
      </c>
      <c r="K1050" s="2"/>
    </row>
    <row r="1051" spans="1:11" ht="57.6" customHeight="1" x14ac:dyDescent="0.25">
      <c r="A1051" s="2">
        <v>1</v>
      </c>
      <c r="B1051" s="161" t="s">
        <v>1609</v>
      </c>
      <c r="C1051" s="10" t="s">
        <v>1610</v>
      </c>
      <c r="D1051" s="10" t="s">
        <v>1611</v>
      </c>
      <c r="E1051" s="10" t="s">
        <v>1612</v>
      </c>
      <c r="F1051" s="17">
        <v>4273.1005500000001</v>
      </c>
      <c r="G1051" s="18">
        <v>0</v>
      </c>
      <c r="H1051" s="17">
        <v>727.22</v>
      </c>
      <c r="I1051" s="17">
        <v>756.26599999999996</v>
      </c>
      <c r="J1051" s="17">
        <v>2789.6145499999998</v>
      </c>
      <c r="K1051" s="106" t="s">
        <v>1451</v>
      </c>
    </row>
    <row r="1052" spans="1:11" ht="29.45" customHeight="1" x14ac:dyDescent="0.25">
      <c r="A1052" s="2">
        <v>2</v>
      </c>
      <c r="B1052" s="163"/>
      <c r="C1052" s="10" t="s">
        <v>1613</v>
      </c>
      <c r="D1052" s="10" t="s">
        <v>1434</v>
      </c>
      <c r="E1052" s="10" t="s">
        <v>23</v>
      </c>
      <c r="F1052" s="17">
        <v>800</v>
      </c>
      <c r="G1052" s="18">
        <v>0</v>
      </c>
      <c r="H1052" s="17">
        <v>800</v>
      </c>
      <c r="I1052" s="18">
        <v>0</v>
      </c>
      <c r="J1052" s="18">
        <v>0</v>
      </c>
      <c r="K1052" s="90" t="s">
        <v>37</v>
      </c>
    </row>
    <row r="1053" spans="1:11" ht="19.899999999999999" customHeight="1" x14ac:dyDescent="0.25">
      <c r="A1053" s="160" t="s">
        <v>1443</v>
      </c>
      <c r="B1053" s="160"/>
      <c r="C1053" s="160"/>
      <c r="D1053" s="20"/>
      <c r="E1053" s="55"/>
      <c r="F1053" s="96">
        <f>SUM(F1051:F1052)</f>
        <v>5073.1005500000001</v>
      </c>
      <c r="G1053" s="97">
        <f>SUM(G1051:G1052)</f>
        <v>0</v>
      </c>
      <c r="H1053" s="96">
        <f>SUM(H1051:H1052)</f>
        <v>1527.22</v>
      </c>
      <c r="I1053" s="96">
        <f>SUM(I1051:I1052)</f>
        <v>756.26599999999996</v>
      </c>
      <c r="J1053" s="96">
        <f>SUM(J1051:J1052)</f>
        <v>2789.6145499999998</v>
      </c>
      <c r="K1053" s="17"/>
    </row>
    <row r="1054" spans="1:11" ht="90" x14ac:dyDescent="0.25">
      <c r="A1054" s="2">
        <v>1</v>
      </c>
      <c r="B1054" s="2" t="s">
        <v>1609</v>
      </c>
      <c r="C1054" s="92" t="s">
        <v>1614</v>
      </c>
      <c r="D1054" s="10" t="s">
        <v>1434</v>
      </c>
      <c r="E1054" s="10" t="s">
        <v>23</v>
      </c>
      <c r="F1054" s="17">
        <v>800</v>
      </c>
      <c r="G1054" s="18">
        <v>0</v>
      </c>
      <c r="H1054" s="18">
        <v>0</v>
      </c>
      <c r="I1054" s="17">
        <v>800</v>
      </c>
      <c r="J1054" s="18">
        <v>0</v>
      </c>
      <c r="K1054" s="90" t="s">
        <v>63</v>
      </c>
    </row>
    <row r="1055" spans="1:11" ht="31.15" customHeight="1" x14ac:dyDescent="0.25">
      <c r="A1055" s="160" t="s">
        <v>20</v>
      </c>
      <c r="B1055" s="160"/>
      <c r="C1055" s="160"/>
      <c r="D1055" s="110"/>
      <c r="E1055" s="55"/>
      <c r="F1055" s="96">
        <f>SUM(F1054)</f>
        <v>800</v>
      </c>
      <c r="G1055" s="97">
        <f t="shared" ref="G1055:I1055" si="130">SUM(G1054)</f>
        <v>0</v>
      </c>
      <c r="H1055" s="97">
        <f t="shared" si="130"/>
        <v>0</v>
      </c>
      <c r="I1055" s="96">
        <f t="shared" si="130"/>
        <v>800</v>
      </c>
      <c r="J1055" s="18">
        <v>0</v>
      </c>
      <c r="K1055" s="20"/>
    </row>
    <row r="1056" spans="1:11" ht="28.15" customHeight="1" x14ac:dyDescent="0.25">
      <c r="A1056" s="2">
        <v>1</v>
      </c>
      <c r="B1056" s="161" t="s">
        <v>1615</v>
      </c>
      <c r="C1056" s="92" t="s">
        <v>1616</v>
      </c>
      <c r="D1056" s="10" t="s">
        <v>1434</v>
      </c>
      <c r="E1056" s="10" t="s">
        <v>23</v>
      </c>
      <c r="F1056" s="17">
        <v>3909.7</v>
      </c>
      <c r="G1056" s="16">
        <v>0</v>
      </c>
      <c r="H1056" s="17">
        <v>3909.7</v>
      </c>
      <c r="I1056" s="18">
        <v>0</v>
      </c>
      <c r="J1056" s="18">
        <v>0</v>
      </c>
      <c r="K1056" s="111">
        <v>46204</v>
      </c>
    </row>
    <row r="1057" spans="1:11" ht="28.15" customHeight="1" x14ac:dyDescent="0.25">
      <c r="A1057" s="2">
        <v>2</v>
      </c>
      <c r="B1057" s="162"/>
      <c r="C1057" s="92" t="s">
        <v>1617</v>
      </c>
      <c r="D1057" s="10" t="s">
        <v>1486</v>
      </c>
      <c r="E1057" s="10" t="s">
        <v>23</v>
      </c>
      <c r="F1057" s="17">
        <v>4840</v>
      </c>
      <c r="G1057" s="16">
        <v>0</v>
      </c>
      <c r="H1057" s="17">
        <v>4840</v>
      </c>
      <c r="I1057" s="18">
        <v>0</v>
      </c>
      <c r="J1057" s="18">
        <v>0</v>
      </c>
      <c r="K1057" s="90" t="s">
        <v>1084</v>
      </c>
    </row>
    <row r="1058" spans="1:11" ht="28.15" customHeight="1" x14ac:dyDescent="0.25">
      <c r="A1058" s="2">
        <v>3</v>
      </c>
      <c r="B1058" s="162"/>
      <c r="C1058" s="92" t="s">
        <v>1618</v>
      </c>
      <c r="D1058" s="10" t="s">
        <v>1436</v>
      </c>
      <c r="E1058" s="10" t="s">
        <v>23</v>
      </c>
      <c r="F1058" s="17">
        <v>1698.4</v>
      </c>
      <c r="G1058" s="16">
        <v>0</v>
      </c>
      <c r="H1058" s="17">
        <v>1698.4</v>
      </c>
      <c r="I1058" s="18">
        <v>0</v>
      </c>
      <c r="J1058" s="18">
        <v>0</v>
      </c>
      <c r="K1058" s="90" t="s">
        <v>1084</v>
      </c>
    </row>
    <row r="1059" spans="1:11" ht="28.15" customHeight="1" x14ac:dyDescent="0.25">
      <c r="A1059" s="2">
        <v>4</v>
      </c>
      <c r="B1059" s="162"/>
      <c r="C1059" s="92" t="s">
        <v>1619</v>
      </c>
      <c r="D1059" s="10" t="s">
        <v>1620</v>
      </c>
      <c r="E1059" s="10" t="s">
        <v>23</v>
      </c>
      <c r="F1059" s="17">
        <v>2924</v>
      </c>
      <c r="G1059" s="16">
        <v>0</v>
      </c>
      <c r="H1059" s="17">
        <v>2924</v>
      </c>
      <c r="I1059" s="18">
        <v>0</v>
      </c>
      <c r="J1059" s="18">
        <v>0</v>
      </c>
      <c r="K1059" s="90" t="s">
        <v>1084</v>
      </c>
    </row>
    <row r="1060" spans="1:11" ht="28.15" customHeight="1" x14ac:dyDescent="0.25">
      <c r="A1060" s="2">
        <v>5</v>
      </c>
      <c r="B1060" s="162"/>
      <c r="C1060" s="92" t="s">
        <v>1621</v>
      </c>
      <c r="D1060" s="10" t="s">
        <v>1439</v>
      </c>
      <c r="E1060" s="10" t="s">
        <v>23</v>
      </c>
      <c r="F1060" s="17">
        <v>562.5</v>
      </c>
      <c r="G1060" s="16">
        <v>0</v>
      </c>
      <c r="H1060" s="17">
        <v>562.5</v>
      </c>
      <c r="I1060" s="18">
        <v>0</v>
      </c>
      <c r="J1060" s="18">
        <v>0</v>
      </c>
      <c r="K1060" s="90" t="s">
        <v>1084</v>
      </c>
    </row>
    <row r="1061" spans="1:11" ht="28.15" customHeight="1" x14ac:dyDescent="0.25">
      <c r="A1061" s="2">
        <v>6</v>
      </c>
      <c r="B1061" s="162"/>
      <c r="C1061" s="92" t="s">
        <v>1622</v>
      </c>
      <c r="D1061" s="10" t="s">
        <v>1442</v>
      </c>
      <c r="E1061" s="10" t="s">
        <v>23</v>
      </c>
      <c r="F1061" s="17">
        <v>935.4</v>
      </c>
      <c r="G1061" s="16">
        <v>0</v>
      </c>
      <c r="H1061" s="17">
        <v>935.4</v>
      </c>
      <c r="I1061" s="18">
        <v>0</v>
      </c>
      <c r="J1061" s="18">
        <v>0</v>
      </c>
      <c r="K1061" s="90" t="s">
        <v>1084</v>
      </c>
    </row>
    <row r="1062" spans="1:11" ht="28.15" customHeight="1" x14ac:dyDescent="0.25">
      <c r="A1062" s="2">
        <v>7</v>
      </c>
      <c r="B1062" s="163"/>
      <c r="C1062" s="92" t="s">
        <v>1623</v>
      </c>
      <c r="D1062" s="10" t="s">
        <v>1458</v>
      </c>
      <c r="E1062" s="10" t="s">
        <v>23</v>
      </c>
      <c r="F1062" s="17">
        <v>5130</v>
      </c>
      <c r="G1062" s="16">
        <v>0</v>
      </c>
      <c r="H1062" s="17">
        <v>5130</v>
      </c>
      <c r="I1062" s="18">
        <v>0</v>
      </c>
      <c r="J1062" s="18">
        <v>0</v>
      </c>
      <c r="K1062" s="90" t="s">
        <v>1084</v>
      </c>
    </row>
    <row r="1063" spans="1:11" ht="33.6" customHeight="1" x14ac:dyDescent="0.25">
      <c r="A1063" s="160" t="s">
        <v>1443</v>
      </c>
      <c r="B1063" s="160"/>
      <c r="C1063" s="160"/>
      <c r="D1063" s="20"/>
      <c r="E1063" s="55"/>
      <c r="F1063" s="96">
        <f>SUM(F1056:F1062)</f>
        <v>20000</v>
      </c>
      <c r="G1063" s="97">
        <f>SUM(G1056:G1062)</f>
        <v>0</v>
      </c>
      <c r="H1063" s="96">
        <f>SUM(H1056:H1062)</f>
        <v>20000</v>
      </c>
      <c r="I1063" s="97">
        <f>SUM(I1056:I1062)</f>
        <v>0</v>
      </c>
      <c r="J1063" s="18">
        <v>0</v>
      </c>
      <c r="K1063" s="96"/>
    </row>
    <row r="1064" spans="1:11" ht="40.15" customHeight="1" x14ac:dyDescent="0.25">
      <c r="A1064" s="2">
        <v>1</v>
      </c>
      <c r="B1064" s="161" t="s">
        <v>1615</v>
      </c>
      <c r="C1064" s="92" t="s">
        <v>1624</v>
      </c>
      <c r="D1064" s="10" t="s">
        <v>1428</v>
      </c>
      <c r="E1064" s="10" t="s">
        <v>23</v>
      </c>
      <c r="F1064" s="17">
        <v>12201.30328</v>
      </c>
      <c r="G1064" s="16">
        <v>0</v>
      </c>
      <c r="H1064" s="17">
        <v>12201.30328</v>
      </c>
      <c r="I1064" s="18">
        <v>0</v>
      </c>
      <c r="J1064" s="18">
        <v>0</v>
      </c>
      <c r="K1064" s="90" t="s">
        <v>284</v>
      </c>
    </row>
    <row r="1065" spans="1:11" ht="40.15" customHeight="1" x14ac:dyDescent="0.25">
      <c r="A1065" s="2">
        <v>2</v>
      </c>
      <c r="B1065" s="163"/>
      <c r="C1065" s="92" t="s">
        <v>1625</v>
      </c>
      <c r="D1065" s="10" t="s">
        <v>1434</v>
      </c>
      <c r="E1065" s="10" t="s">
        <v>23</v>
      </c>
      <c r="F1065" s="17">
        <v>20000</v>
      </c>
      <c r="G1065" s="16">
        <v>0</v>
      </c>
      <c r="H1065" s="18">
        <v>0</v>
      </c>
      <c r="I1065" s="17">
        <v>20000</v>
      </c>
      <c r="J1065" s="18">
        <v>0</v>
      </c>
      <c r="K1065" s="90" t="s">
        <v>210</v>
      </c>
    </row>
    <row r="1066" spans="1:11" ht="27" customHeight="1" x14ac:dyDescent="0.25">
      <c r="A1066" s="160" t="s">
        <v>20</v>
      </c>
      <c r="B1066" s="160"/>
      <c r="C1066" s="160"/>
      <c r="D1066" s="110"/>
      <c r="E1066" s="55"/>
      <c r="F1066" s="96">
        <f>SUM(F1064:F1065)</f>
        <v>32201.30328</v>
      </c>
      <c r="G1066" s="16">
        <v>0</v>
      </c>
      <c r="H1066" s="96">
        <f t="shared" ref="H1066:I1066" si="131">SUM(H1064:H1065)</f>
        <v>12201.30328</v>
      </c>
      <c r="I1066" s="96">
        <f t="shared" si="131"/>
        <v>20000</v>
      </c>
      <c r="J1066" s="18">
        <v>0</v>
      </c>
      <c r="K1066" s="20"/>
    </row>
    <row r="1067" spans="1:11" ht="90" x14ac:dyDescent="0.25">
      <c r="A1067" s="2">
        <v>1</v>
      </c>
      <c r="B1067" s="2" t="s">
        <v>1615</v>
      </c>
      <c r="C1067" s="92" t="s">
        <v>1626</v>
      </c>
      <c r="D1067" s="10" t="s">
        <v>1428</v>
      </c>
      <c r="E1067" s="10" t="s">
        <v>23</v>
      </c>
      <c r="F1067" s="17">
        <v>12201.30328</v>
      </c>
      <c r="G1067" s="16">
        <v>0</v>
      </c>
      <c r="H1067" s="18">
        <v>0</v>
      </c>
      <c r="I1067" s="17">
        <v>12201.30328</v>
      </c>
      <c r="J1067" s="18">
        <v>0</v>
      </c>
      <c r="K1067" s="90" t="s">
        <v>291</v>
      </c>
    </row>
    <row r="1068" spans="1:11" ht="28.9" customHeight="1" x14ac:dyDescent="0.25">
      <c r="A1068" s="160" t="s">
        <v>21</v>
      </c>
      <c r="B1068" s="160"/>
      <c r="C1068" s="160"/>
      <c r="D1068" s="110"/>
      <c r="E1068" s="55"/>
      <c r="F1068" s="96">
        <f>SUM(F1067)</f>
        <v>12201.30328</v>
      </c>
      <c r="G1068" s="16">
        <v>0</v>
      </c>
      <c r="H1068" s="18">
        <v>0</v>
      </c>
      <c r="I1068" s="96">
        <f t="shared" ref="I1068" si="132">SUM(I1067)</f>
        <v>12201.30328</v>
      </c>
      <c r="J1068" s="18">
        <v>0</v>
      </c>
      <c r="K1068" s="20"/>
    </row>
    <row r="1069" spans="1:11" ht="31.15" customHeight="1" x14ac:dyDescent="0.25">
      <c r="A1069" s="2">
        <v>1</v>
      </c>
      <c r="B1069" s="161" t="s">
        <v>1627</v>
      </c>
      <c r="C1069" s="92" t="s">
        <v>1628</v>
      </c>
      <c r="D1069" s="10" t="s">
        <v>1434</v>
      </c>
      <c r="E1069" s="10" t="s">
        <v>23</v>
      </c>
      <c r="F1069" s="17">
        <v>2614.5500000000002</v>
      </c>
      <c r="G1069" s="16">
        <v>0</v>
      </c>
      <c r="H1069" s="17">
        <v>2614.5500000000002</v>
      </c>
      <c r="I1069" s="18">
        <v>0</v>
      </c>
      <c r="J1069" s="18">
        <v>0</v>
      </c>
      <c r="K1069" s="90" t="s">
        <v>1084</v>
      </c>
    </row>
    <row r="1070" spans="1:11" ht="31.15" customHeight="1" x14ac:dyDescent="0.25">
      <c r="A1070" s="2">
        <v>2</v>
      </c>
      <c r="B1070" s="162"/>
      <c r="C1070" s="92" t="s">
        <v>1629</v>
      </c>
      <c r="D1070" s="10" t="s">
        <v>1486</v>
      </c>
      <c r="E1070" s="10" t="s">
        <v>23</v>
      </c>
      <c r="F1070" s="17">
        <v>2232</v>
      </c>
      <c r="G1070" s="16">
        <v>0</v>
      </c>
      <c r="H1070" s="17">
        <v>2232</v>
      </c>
      <c r="I1070" s="18">
        <v>0</v>
      </c>
      <c r="J1070" s="18">
        <v>0</v>
      </c>
      <c r="K1070" s="90" t="s">
        <v>1084</v>
      </c>
    </row>
    <row r="1071" spans="1:11" ht="31.15" customHeight="1" x14ac:dyDescent="0.25">
      <c r="A1071" s="2">
        <v>3</v>
      </c>
      <c r="B1071" s="162"/>
      <c r="C1071" s="92" t="s">
        <v>1630</v>
      </c>
      <c r="D1071" s="10" t="s">
        <v>1428</v>
      </c>
      <c r="E1071" s="10" t="s">
        <v>23</v>
      </c>
      <c r="F1071" s="17">
        <v>3526.5479999999998</v>
      </c>
      <c r="G1071" s="16">
        <v>0</v>
      </c>
      <c r="H1071" s="17">
        <v>3526.5479999999998</v>
      </c>
      <c r="I1071" s="18">
        <v>0</v>
      </c>
      <c r="J1071" s="18">
        <v>0</v>
      </c>
      <c r="K1071" s="111">
        <v>46204</v>
      </c>
    </row>
    <row r="1072" spans="1:11" ht="31.15" customHeight="1" x14ac:dyDescent="0.25">
      <c r="A1072" s="2">
        <v>4</v>
      </c>
      <c r="B1072" s="162"/>
      <c r="C1072" s="92" t="s">
        <v>1631</v>
      </c>
      <c r="D1072" s="10" t="s">
        <v>1442</v>
      </c>
      <c r="E1072" s="10" t="s">
        <v>23</v>
      </c>
      <c r="F1072" s="17">
        <v>489.9</v>
      </c>
      <c r="G1072" s="16">
        <v>0</v>
      </c>
      <c r="H1072" s="17">
        <v>489.9</v>
      </c>
      <c r="I1072" s="18">
        <v>0</v>
      </c>
      <c r="J1072" s="18">
        <v>0</v>
      </c>
      <c r="K1072" s="90" t="s">
        <v>1084</v>
      </c>
    </row>
    <row r="1073" spans="1:11" ht="31.15" customHeight="1" x14ac:dyDescent="0.25">
      <c r="A1073" s="2">
        <v>5</v>
      </c>
      <c r="B1073" s="162"/>
      <c r="C1073" s="92" t="s">
        <v>1632</v>
      </c>
      <c r="D1073" s="10" t="s">
        <v>1458</v>
      </c>
      <c r="E1073" s="10" t="s">
        <v>23</v>
      </c>
      <c r="F1073" s="17">
        <v>2571.1999999999998</v>
      </c>
      <c r="G1073" s="16">
        <v>0</v>
      </c>
      <c r="H1073" s="17">
        <v>2571.1999999999998</v>
      </c>
      <c r="I1073" s="18">
        <v>0</v>
      </c>
      <c r="J1073" s="18">
        <v>0</v>
      </c>
      <c r="K1073" s="90" t="s">
        <v>1084</v>
      </c>
    </row>
    <row r="1074" spans="1:11" ht="31.15" customHeight="1" x14ac:dyDescent="0.25">
      <c r="A1074" s="2">
        <v>6</v>
      </c>
      <c r="B1074" s="162"/>
      <c r="C1074" s="92" t="s">
        <v>1633</v>
      </c>
      <c r="D1074" s="10" t="s">
        <v>1436</v>
      </c>
      <c r="E1074" s="10" t="s">
        <v>23</v>
      </c>
      <c r="F1074" s="17">
        <v>1164.595</v>
      </c>
      <c r="G1074" s="16">
        <v>0</v>
      </c>
      <c r="H1074" s="17">
        <v>1164.595</v>
      </c>
      <c r="I1074" s="18">
        <v>0</v>
      </c>
      <c r="J1074" s="18">
        <v>0</v>
      </c>
      <c r="K1074" s="90" t="s">
        <v>1084</v>
      </c>
    </row>
    <row r="1075" spans="1:11" ht="31.15" customHeight="1" x14ac:dyDescent="0.25">
      <c r="A1075" s="2">
        <v>7</v>
      </c>
      <c r="B1075" s="163"/>
      <c r="C1075" s="92" t="s">
        <v>1634</v>
      </c>
      <c r="D1075" s="10" t="s">
        <v>132</v>
      </c>
      <c r="E1075" s="10" t="s">
        <v>23</v>
      </c>
      <c r="F1075" s="17">
        <v>2125.8049999999998</v>
      </c>
      <c r="G1075" s="16">
        <v>0</v>
      </c>
      <c r="H1075" s="17">
        <v>2125.8049999999998</v>
      </c>
      <c r="I1075" s="18">
        <v>0</v>
      </c>
      <c r="J1075" s="18">
        <v>0</v>
      </c>
      <c r="K1075" s="90" t="s">
        <v>1084</v>
      </c>
    </row>
    <row r="1076" spans="1:11" ht="25.9" customHeight="1" x14ac:dyDescent="0.25">
      <c r="A1076" s="160" t="s">
        <v>1443</v>
      </c>
      <c r="B1076" s="160"/>
      <c r="C1076" s="160"/>
      <c r="D1076" s="20"/>
      <c r="E1076" s="55"/>
      <c r="F1076" s="96">
        <f>SUM(F1069:F1075)</f>
        <v>14724.598</v>
      </c>
      <c r="G1076" s="97">
        <f>SUM(G1069:G1075)</f>
        <v>0</v>
      </c>
      <c r="H1076" s="96">
        <f>SUM(H1069:H1075)</f>
        <v>14724.598</v>
      </c>
      <c r="I1076" s="97">
        <f>SUM(I1069:I1075)</f>
        <v>0</v>
      </c>
      <c r="J1076" s="18">
        <v>0</v>
      </c>
      <c r="K1076" s="96"/>
    </row>
    <row r="1077" spans="1:11" ht="31.9" customHeight="1" x14ac:dyDescent="0.25">
      <c r="A1077" s="2">
        <v>1</v>
      </c>
      <c r="B1077" s="161" t="s">
        <v>1627</v>
      </c>
      <c r="C1077" s="92" t="s">
        <v>1635</v>
      </c>
      <c r="D1077" s="10" t="s">
        <v>1434</v>
      </c>
      <c r="E1077" s="10" t="s">
        <v>23</v>
      </c>
      <c r="F1077" s="17">
        <v>10267.26072</v>
      </c>
      <c r="G1077" s="16">
        <v>0</v>
      </c>
      <c r="H1077" s="18">
        <v>0</v>
      </c>
      <c r="I1077" s="17">
        <v>10267.26072</v>
      </c>
      <c r="J1077" s="18">
        <v>0</v>
      </c>
      <c r="K1077" s="90" t="s">
        <v>63</v>
      </c>
    </row>
    <row r="1078" spans="1:11" ht="31.9" customHeight="1" x14ac:dyDescent="0.25">
      <c r="A1078" s="2">
        <v>2</v>
      </c>
      <c r="B1078" s="163"/>
      <c r="C1078" s="92" t="s">
        <v>1636</v>
      </c>
      <c r="D1078" s="10" t="s">
        <v>1486</v>
      </c>
      <c r="E1078" s="10" t="s">
        <v>23</v>
      </c>
      <c r="F1078" s="17">
        <v>1470.5527400000001</v>
      </c>
      <c r="G1078" s="16">
        <v>0</v>
      </c>
      <c r="H1078" s="18">
        <v>0</v>
      </c>
      <c r="I1078" s="17">
        <v>1470.5527400000001</v>
      </c>
      <c r="J1078" s="18">
        <v>0</v>
      </c>
      <c r="K1078" s="90" t="s">
        <v>63</v>
      </c>
    </row>
    <row r="1079" spans="1:11" ht="28.9" customHeight="1" x14ac:dyDescent="0.25">
      <c r="A1079" s="160" t="s">
        <v>20</v>
      </c>
      <c r="B1079" s="160"/>
      <c r="C1079" s="160"/>
      <c r="D1079" s="110"/>
      <c r="E1079" s="55"/>
      <c r="F1079" s="96">
        <f>SUM(F1077:F1078)</f>
        <v>11737.813460000001</v>
      </c>
      <c r="G1079" s="16">
        <v>0</v>
      </c>
      <c r="H1079" s="18">
        <v>0</v>
      </c>
      <c r="I1079" s="96">
        <f t="shared" ref="I1079" si="133">SUM(I1077:I1078)</f>
        <v>11737.813460000001</v>
      </c>
      <c r="J1079" s="18">
        <v>0</v>
      </c>
      <c r="K1079" s="20"/>
    </row>
    <row r="1080" spans="1:11" ht="61.15" customHeight="1" x14ac:dyDescent="0.25">
      <c r="A1080" s="2">
        <v>1</v>
      </c>
      <c r="B1080" s="2" t="s">
        <v>1627</v>
      </c>
      <c r="C1080" s="92" t="s">
        <v>1637</v>
      </c>
      <c r="D1080" s="10" t="s">
        <v>1428</v>
      </c>
      <c r="E1080" s="10" t="s">
        <v>23</v>
      </c>
      <c r="F1080" s="17">
        <v>3526.5479999999998</v>
      </c>
      <c r="G1080" s="16">
        <v>0</v>
      </c>
      <c r="H1080" s="18">
        <v>0</v>
      </c>
      <c r="I1080" s="17">
        <v>3526.5479999999998</v>
      </c>
      <c r="J1080" s="18">
        <v>0</v>
      </c>
      <c r="K1080" s="90" t="s">
        <v>107</v>
      </c>
    </row>
    <row r="1081" spans="1:11" ht="33" customHeight="1" x14ac:dyDescent="0.25">
      <c r="A1081" s="160" t="s">
        <v>21</v>
      </c>
      <c r="B1081" s="160"/>
      <c r="C1081" s="160"/>
      <c r="D1081" s="110"/>
      <c r="E1081" s="55"/>
      <c r="F1081" s="96">
        <f>SUM(F1080)</f>
        <v>3526.5479999999998</v>
      </c>
      <c r="G1081" s="16">
        <v>0</v>
      </c>
      <c r="H1081" s="18">
        <v>0</v>
      </c>
      <c r="I1081" s="96">
        <f t="shared" ref="I1081" si="134">SUM(I1080)</f>
        <v>3526.5479999999998</v>
      </c>
      <c r="J1081" s="18">
        <v>0</v>
      </c>
      <c r="K1081" s="20"/>
    </row>
    <row r="1082" spans="1:11" ht="28.15" customHeight="1" x14ac:dyDescent="0.25">
      <c r="A1082" s="2">
        <v>1</v>
      </c>
      <c r="B1082" s="161" t="s">
        <v>1638</v>
      </c>
      <c r="C1082" s="92" t="s">
        <v>1639</v>
      </c>
      <c r="D1082" s="10" t="s">
        <v>1434</v>
      </c>
      <c r="E1082" s="10" t="s">
        <v>23</v>
      </c>
      <c r="F1082" s="17">
        <v>4066.15</v>
      </c>
      <c r="G1082" s="16">
        <v>0</v>
      </c>
      <c r="H1082" s="17">
        <v>4066.15</v>
      </c>
      <c r="I1082" s="18">
        <v>0</v>
      </c>
      <c r="J1082" s="18">
        <v>0</v>
      </c>
      <c r="K1082" s="90" t="s">
        <v>1084</v>
      </c>
    </row>
    <row r="1083" spans="1:11" ht="28.15" customHeight="1" x14ac:dyDescent="0.25">
      <c r="A1083" s="2">
        <v>2</v>
      </c>
      <c r="B1083" s="162"/>
      <c r="C1083" s="92" t="s">
        <v>1640</v>
      </c>
      <c r="D1083" s="10" t="s">
        <v>1436</v>
      </c>
      <c r="E1083" s="10" t="s">
        <v>23</v>
      </c>
      <c r="F1083" s="17">
        <v>1921.35</v>
      </c>
      <c r="G1083" s="16">
        <v>0</v>
      </c>
      <c r="H1083" s="17">
        <v>1921.35</v>
      </c>
      <c r="I1083" s="18">
        <v>0</v>
      </c>
      <c r="J1083" s="18">
        <v>0</v>
      </c>
      <c r="K1083" s="90" t="s">
        <v>1084</v>
      </c>
    </row>
    <row r="1084" spans="1:11" ht="28.15" customHeight="1" x14ac:dyDescent="0.25">
      <c r="A1084" s="2">
        <v>3</v>
      </c>
      <c r="B1084" s="162"/>
      <c r="C1084" s="92" t="s">
        <v>1641</v>
      </c>
      <c r="D1084" s="10" t="s">
        <v>1434</v>
      </c>
      <c r="E1084" s="10" t="s">
        <v>23</v>
      </c>
      <c r="F1084" s="17">
        <v>5582.6</v>
      </c>
      <c r="G1084" s="16">
        <v>0</v>
      </c>
      <c r="H1084" s="17">
        <v>5582.6</v>
      </c>
      <c r="I1084" s="18">
        <v>0</v>
      </c>
      <c r="J1084" s="18">
        <v>0</v>
      </c>
      <c r="K1084" s="90" t="s">
        <v>1084</v>
      </c>
    </row>
    <row r="1085" spans="1:11" ht="28.15" customHeight="1" x14ac:dyDescent="0.25">
      <c r="A1085" s="2">
        <v>4</v>
      </c>
      <c r="B1085" s="162"/>
      <c r="C1085" s="92" t="s">
        <v>1642</v>
      </c>
      <c r="D1085" s="10" t="s">
        <v>1439</v>
      </c>
      <c r="E1085" s="10" t="s">
        <v>23</v>
      </c>
      <c r="F1085" s="17">
        <v>730.875</v>
      </c>
      <c r="G1085" s="16">
        <v>0</v>
      </c>
      <c r="H1085" s="17">
        <v>730.875</v>
      </c>
      <c r="I1085" s="18">
        <v>0</v>
      </c>
      <c r="J1085" s="18">
        <v>0</v>
      </c>
      <c r="K1085" s="90" t="s">
        <v>1084</v>
      </c>
    </row>
    <row r="1086" spans="1:11" ht="28.15" customHeight="1" x14ac:dyDescent="0.25">
      <c r="A1086" s="2">
        <v>5</v>
      </c>
      <c r="B1086" s="162"/>
      <c r="C1086" s="92" t="s">
        <v>1643</v>
      </c>
      <c r="D1086" s="10" t="s">
        <v>1434</v>
      </c>
      <c r="E1086" s="10" t="s">
        <v>23</v>
      </c>
      <c r="F1086" s="17">
        <v>2140.2399999999998</v>
      </c>
      <c r="G1086" s="16">
        <v>0</v>
      </c>
      <c r="H1086" s="17">
        <v>2140.2399999999998</v>
      </c>
      <c r="I1086" s="18">
        <v>0</v>
      </c>
      <c r="J1086" s="18">
        <v>0</v>
      </c>
      <c r="K1086" s="90" t="s">
        <v>1084</v>
      </c>
    </row>
    <row r="1087" spans="1:11" ht="28.15" customHeight="1" x14ac:dyDescent="0.25">
      <c r="A1087" s="2">
        <v>6</v>
      </c>
      <c r="B1087" s="162"/>
      <c r="C1087" s="92" t="s">
        <v>1644</v>
      </c>
      <c r="D1087" s="10" t="s">
        <v>1442</v>
      </c>
      <c r="E1087" s="10" t="s">
        <v>23</v>
      </c>
      <c r="F1087" s="17">
        <v>904.57</v>
      </c>
      <c r="G1087" s="16">
        <v>0</v>
      </c>
      <c r="H1087" s="17">
        <v>904.57</v>
      </c>
      <c r="I1087" s="18">
        <v>0</v>
      </c>
      <c r="J1087" s="18">
        <v>0</v>
      </c>
      <c r="K1087" s="90" t="s">
        <v>1084</v>
      </c>
    </row>
    <row r="1088" spans="1:11" ht="28.15" customHeight="1" x14ac:dyDescent="0.25">
      <c r="A1088" s="2">
        <v>7</v>
      </c>
      <c r="B1088" s="162"/>
      <c r="C1088" s="92" t="s">
        <v>1645</v>
      </c>
      <c r="D1088" s="10" t="s">
        <v>1446</v>
      </c>
      <c r="E1088" s="10" t="s">
        <v>23</v>
      </c>
      <c r="F1088" s="17">
        <v>1704.69</v>
      </c>
      <c r="G1088" s="16">
        <v>0</v>
      </c>
      <c r="H1088" s="17">
        <v>1704.69</v>
      </c>
      <c r="I1088" s="18">
        <v>0</v>
      </c>
      <c r="J1088" s="18">
        <v>0</v>
      </c>
      <c r="K1088" s="90" t="s">
        <v>1084</v>
      </c>
    </row>
    <row r="1089" spans="1:11" ht="28.15" customHeight="1" x14ac:dyDescent="0.25">
      <c r="A1089" s="2">
        <v>8</v>
      </c>
      <c r="B1089" s="162"/>
      <c r="C1089" s="92" t="s">
        <v>1646</v>
      </c>
      <c r="D1089" s="10" t="s">
        <v>132</v>
      </c>
      <c r="E1089" s="10" t="s">
        <v>23</v>
      </c>
      <c r="F1089" s="17">
        <v>4380</v>
      </c>
      <c r="G1089" s="16">
        <v>0</v>
      </c>
      <c r="H1089" s="17">
        <v>3296.5</v>
      </c>
      <c r="I1089" s="17">
        <v>1083.5</v>
      </c>
      <c r="J1089" s="18">
        <v>0</v>
      </c>
      <c r="K1089" s="90" t="s">
        <v>1084</v>
      </c>
    </row>
    <row r="1090" spans="1:11" ht="28.15" customHeight="1" x14ac:dyDescent="0.25">
      <c r="A1090" s="2">
        <v>9</v>
      </c>
      <c r="B1090" s="162"/>
      <c r="C1090" s="92" t="s">
        <v>1647</v>
      </c>
      <c r="D1090" s="10" t="s">
        <v>1648</v>
      </c>
      <c r="E1090" s="10" t="s">
        <v>23</v>
      </c>
      <c r="F1090" s="17">
        <v>208.8</v>
      </c>
      <c r="G1090" s="16">
        <v>0</v>
      </c>
      <c r="H1090" s="17">
        <v>208.8</v>
      </c>
      <c r="I1090" s="18">
        <v>0</v>
      </c>
      <c r="J1090" s="18">
        <v>0</v>
      </c>
      <c r="K1090" s="90" t="s">
        <v>1084</v>
      </c>
    </row>
    <row r="1091" spans="1:11" ht="28.15" customHeight="1" x14ac:dyDescent="0.25">
      <c r="A1091" s="2">
        <v>10</v>
      </c>
      <c r="B1091" s="162"/>
      <c r="C1091" s="92" t="s">
        <v>1649</v>
      </c>
      <c r="D1091" s="10" t="s">
        <v>266</v>
      </c>
      <c r="E1091" s="10" t="s">
        <v>23</v>
      </c>
      <c r="F1091" s="17">
        <v>320</v>
      </c>
      <c r="G1091" s="16">
        <v>0</v>
      </c>
      <c r="H1091" s="17">
        <v>320</v>
      </c>
      <c r="I1091" s="18">
        <v>0</v>
      </c>
      <c r="J1091" s="18">
        <v>0</v>
      </c>
      <c r="K1091" s="90" t="s">
        <v>1084</v>
      </c>
    </row>
    <row r="1092" spans="1:11" ht="28.15" customHeight="1" x14ac:dyDescent="0.25">
      <c r="A1092" s="2">
        <v>11</v>
      </c>
      <c r="B1092" s="162"/>
      <c r="C1092" s="92" t="s">
        <v>1650</v>
      </c>
      <c r="D1092" s="10" t="s">
        <v>1390</v>
      </c>
      <c r="E1092" s="10" t="s">
        <v>23</v>
      </c>
      <c r="F1092" s="17">
        <v>30</v>
      </c>
      <c r="G1092" s="16">
        <v>0</v>
      </c>
      <c r="H1092" s="17">
        <v>30</v>
      </c>
      <c r="I1092" s="18">
        <v>0</v>
      </c>
      <c r="J1092" s="18">
        <v>0</v>
      </c>
      <c r="K1092" s="90" t="s">
        <v>1084</v>
      </c>
    </row>
    <row r="1093" spans="1:11" ht="28.15" customHeight="1" x14ac:dyDescent="0.25">
      <c r="A1093" s="2">
        <v>12</v>
      </c>
      <c r="B1093" s="162"/>
      <c r="C1093" s="92" t="s">
        <v>1651</v>
      </c>
      <c r="D1093" s="10" t="s">
        <v>1603</v>
      </c>
      <c r="E1093" s="10" t="s">
        <v>23</v>
      </c>
      <c r="F1093" s="17">
        <v>1000</v>
      </c>
      <c r="G1093" s="16">
        <v>0</v>
      </c>
      <c r="H1093" s="17">
        <v>1000</v>
      </c>
      <c r="I1093" s="18">
        <v>0</v>
      </c>
      <c r="J1093" s="18">
        <v>0</v>
      </c>
      <c r="K1093" s="90" t="s">
        <v>1084</v>
      </c>
    </row>
    <row r="1094" spans="1:11" ht="28.15" customHeight="1" x14ac:dyDescent="0.25">
      <c r="A1094" s="2">
        <v>13</v>
      </c>
      <c r="B1094" s="163"/>
      <c r="C1094" s="92" t="s">
        <v>1652</v>
      </c>
      <c r="D1094" s="10" t="s">
        <v>1605</v>
      </c>
      <c r="E1094" s="10" t="s">
        <v>23</v>
      </c>
      <c r="F1094" s="17">
        <v>700</v>
      </c>
      <c r="G1094" s="16">
        <v>0</v>
      </c>
      <c r="H1094" s="17">
        <v>700</v>
      </c>
      <c r="I1094" s="18">
        <v>0</v>
      </c>
      <c r="J1094" s="18">
        <v>0</v>
      </c>
      <c r="K1094" s="90" t="s">
        <v>1084</v>
      </c>
    </row>
    <row r="1095" spans="1:11" ht="28.15" customHeight="1" x14ac:dyDescent="0.25">
      <c r="A1095" s="160" t="s">
        <v>1443</v>
      </c>
      <c r="B1095" s="160"/>
      <c r="C1095" s="160"/>
      <c r="D1095" s="20"/>
      <c r="E1095" s="55"/>
      <c r="F1095" s="96">
        <f>SUM(F1082:F1094)</f>
        <v>23689.274999999998</v>
      </c>
      <c r="G1095" s="97">
        <f>SUM(G1082:G1094)</f>
        <v>0</v>
      </c>
      <c r="H1095" s="96">
        <f>SUM(H1082:H1094)</f>
        <v>22605.774999999998</v>
      </c>
      <c r="I1095" s="96">
        <f>SUM(I1082:I1094)</f>
        <v>1083.5</v>
      </c>
      <c r="J1095" s="18">
        <v>0</v>
      </c>
      <c r="K1095" s="96"/>
    </row>
    <row r="1096" spans="1:11" ht="63.6" customHeight="1" x14ac:dyDescent="0.25">
      <c r="A1096" s="2">
        <v>1</v>
      </c>
      <c r="B1096" s="2" t="s">
        <v>1638</v>
      </c>
      <c r="C1096" s="92" t="s">
        <v>1653</v>
      </c>
      <c r="D1096" s="10" t="s">
        <v>1654</v>
      </c>
      <c r="E1096" s="10" t="s">
        <v>23</v>
      </c>
      <c r="F1096" s="17">
        <v>14726.37</v>
      </c>
      <c r="G1096" s="16">
        <v>0</v>
      </c>
      <c r="H1096" s="17">
        <v>14726.37</v>
      </c>
      <c r="I1096" s="79">
        <v>0</v>
      </c>
      <c r="J1096" s="18">
        <v>0</v>
      </c>
      <c r="K1096" s="90" t="s">
        <v>284</v>
      </c>
    </row>
    <row r="1097" spans="1:11" ht="28.15" customHeight="1" x14ac:dyDescent="0.25">
      <c r="A1097" s="160" t="s">
        <v>20</v>
      </c>
      <c r="B1097" s="160"/>
      <c r="C1097" s="160"/>
      <c r="D1097" s="110"/>
      <c r="E1097" s="20"/>
      <c r="F1097" s="96">
        <f>SUM(F1096:F1096)</f>
        <v>14726.37</v>
      </c>
      <c r="G1097" s="16">
        <v>0</v>
      </c>
      <c r="H1097" s="96">
        <f>SUM(H1096:H1096)</f>
        <v>14726.37</v>
      </c>
      <c r="I1097" s="79">
        <v>0</v>
      </c>
      <c r="J1097" s="18">
        <v>0</v>
      </c>
      <c r="K1097" s="20"/>
    </row>
    <row r="1098" spans="1:11" ht="42" customHeight="1" x14ac:dyDescent="0.25">
      <c r="A1098" s="2">
        <v>1</v>
      </c>
      <c r="B1098" s="161" t="s">
        <v>1638</v>
      </c>
      <c r="C1098" s="92" t="s">
        <v>1655</v>
      </c>
      <c r="D1098" s="10" t="s">
        <v>1656</v>
      </c>
      <c r="E1098" s="10" t="s">
        <v>23</v>
      </c>
      <c r="F1098" s="17">
        <v>14726.37</v>
      </c>
      <c r="G1098" s="16">
        <v>0</v>
      </c>
      <c r="H1098" s="18">
        <v>0</v>
      </c>
      <c r="I1098" s="17">
        <v>14726.37</v>
      </c>
      <c r="J1098" s="18">
        <v>0</v>
      </c>
      <c r="K1098" s="90" t="s">
        <v>291</v>
      </c>
    </row>
    <row r="1099" spans="1:11" ht="35.450000000000003" customHeight="1" x14ac:dyDescent="0.25">
      <c r="A1099" s="2">
        <v>2</v>
      </c>
      <c r="B1099" s="163"/>
      <c r="C1099" s="92" t="s">
        <v>1657</v>
      </c>
      <c r="D1099" s="10" t="s">
        <v>1432</v>
      </c>
      <c r="E1099" s="10" t="s">
        <v>23</v>
      </c>
      <c r="F1099" s="17">
        <v>26819.039000000001</v>
      </c>
      <c r="G1099" s="16">
        <v>0</v>
      </c>
      <c r="H1099" s="18">
        <v>0</v>
      </c>
      <c r="I1099" s="17">
        <v>26819.039000000001</v>
      </c>
      <c r="J1099" s="18">
        <v>0</v>
      </c>
      <c r="K1099" s="90" t="s">
        <v>291</v>
      </c>
    </row>
    <row r="1100" spans="1:11" ht="32.450000000000003" customHeight="1" x14ac:dyDescent="0.25">
      <c r="A1100" s="160" t="s">
        <v>21</v>
      </c>
      <c r="B1100" s="160"/>
      <c r="C1100" s="160"/>
      <c r="D1100" s="110"/>
      <c r="E1100" s="55"/>
      <c r="F1100" s="96">
        <f>SUM(F1098:F1099)</f>
        <v>41545.409</v>
      </c>
      <c r="G1100" s="16">
        <v>0</v>
      </c>
      <c r="H1100" s="18">
        <v>0</v>
      </c>
      <c r="I1100" s="96">
        <f t="shared" ref="I1100" si="135">SUM(I1098:I1099)</f>
        <v>41545.409</v>
      </c>
      <c r="J1100" s="18">
        <v>0</v>
      </c>
      <c r="K1100" s="20"/>
    </row>
    <row r="1101" spans="1:11" ht="27.6" customHeight="1" x14ac:dyDescent="0.25">
      <c r="A1101" s="2">
        <v>1</v>
      </c>
      <c r="B1101" s="161" t="s">
        <v>1658</v>
      </c>
      <c r="C1101" s="92" t="s">
        <v>1659</v>
      </c>
      <c r="D1101" s="10" t="s">
        <v>1595</v>
      </c>
      <c r="E1101" s="10" t="s">
        <v>23</v>
      </c>
      <c r="F1101" s="17">
        <v>3159.5250000000001</v>
      </c>
      <c r="G1101" s="16">
        <v>0</v>
      </c>
      <c r="H1101" s="17">
        <v>3159.5250000000001</v>
      </c>
      <c r="I1101" s="18">
        <v>0</v>
      </c>
      <c r="J1101" s="18">
        <v>0</v>
      </c>
      <c r="K1101" s="90" t="s">
        <v>418</v>
      </c>
    </row>
    <row r="1102" spans="1:11" ht="27.6" customHeight="1" x14ac:dyDescent="0.25">
      <c r="A1102" s="2">
        <v>2</v>
      </c>
      <c r="B1102" s="162"/>
      <c r="C1102" s="92" t="s">
        <v>1660</v>
      </c>
      <c r="D1102" s="10" t="s">
        <v>1434</v>
      </c>
      <c r="E1102" s="10" t="s">
        <v>23</v>
      </c>
      <c r="F1102" s="17">
        <v>2963.14</v>
      </c>
      <c r="G1102" s="16">
        <v>0</v>
      </c>
      <c r="H1102" s="17">
        <v>2963.14</v>
      </c>
      <c r="I1102" s="18">
        <v>0</v>
      </c>
      <c r="J1102" s="18">
        <v>0</v>
      </c>
      <c r="K1102" s="90" t="s">
        <v>418</v>
      </c>
    </row>
    <row r="1103" spans="1:11" ht="27.6" customHeight="1" x14ac:dyDescent="0.25">
      <c r="A1103" s="2">
        <v>3</v>
      </c>
      <c r="B1103" s="162"/>
      <c r="C1103" s="92" t="s">
        <v>1661</v>
      </c>
      <c r="D1103" s="10" t="s">
        <v>1434</v>
      </c>
      <c r="E1103" s="10" t="s">
        <v>23</v>
      </c>
      <c r="F1103" s="17">
        <v>5304.6151600000003</v>
      </c>
      <c r="G1103" s="16">
        <v>0</v>
      </c>
      <c r="H1103" s="17">
        <v>5304.6151600000003</v>
      </c>
      <c r="I1103" s="18">
        <v>0</v>
      </c>
      <c r="J1103" s="18">
        <v>0</v>
      </c>
      <c r="K1103" s="111">
        <v>46235</v>
      </c>
    </row>
    <row r="1104" spans="1:11" ht="27.6" customHeight="1" x14ac:dyDescent="0.25">
      <c r="A1104" s="2">
        <v>4</v>
      </c>
      <c r="B1104" s="162"/>
      <c r="C1104" s="92" t="s">
        <v>1662</v>
      </c>
      <c r="D1104" s="10" t="s">
        <v>1663</v>
      </c>
      <c r="E1104" s="10" t="s">
        <v>23</v>
      </c>
      <c r="F1104" s="17">
        <v>4700</v>
      </c>
      <c r="G1104" s="16">
        <v>0</v>
      </c>
      <c r="H1104" s="17">
        <v>3500</v>
      </c>
      <c r="I1104" s="17">
        <v>1200</v>
      </c>
      <c r="J1104" s="18">
        <v>0</v>
      </c>
      <c r="K1104" s="90" t="s">
        <v>240</v>
      </c>
    </row>
    <row r="1105" spans="1:11" ht="27.6" customHeight="1" x14ac:dyDescent="0.25">
      <c r="A1105" s="2">
        <v>5</v>
      </c>
      <c r="B1105" s="162"/>
      <c r="C1105" s="92" t="s">
        <v>1664</v>
      </c>
      <c r="D1105" s="10" t="s">
        <v>1434</v>
      </c>
      <c r="E1105" s="10" t="s">
        <v>23</v>
      </c>
      <c r="F1105" s="17">
        <v>1500.94</v>
      </c>
      <c r="G1105" s="16">
        <v>0</v>
      </c>
      <c r="H1105" s="17">
        <v>1500.94</v>
      </c>
      <c r="I1105" s="79">
        <v>0</v>
      </c>
      <c r="J1105" s="18">
        <v>0</v>
      </c>
      <c r="K1105" s="90" t="s">
        <v>1084</v>
      </c>
    </row>
    <row r="1106" spans="1:11" ht="27.6" customHeight="1" x14ac:dyDescent="0.25">
      <c r="A1106" s="2">
        <v>6</v>
      </c>
      <c r="B1106" s="163"/>
      <c r="C1106" s="92" t="s">
        <v>1665</v>
      </c>
      <c r="D1106" s="10" t="s">
        <v>1442</v>
      </c>
      <c r="E1106" s="10" t="s">
        <v>23</v>
      </c>
      <c r="F1106" s="17">
        <v>791.8175</v>
      </c>
      <c r="G1106" s="16">
        <v>0</v>
      </c>
      <c r="H1106" s="17">
        <v>791.8175</v>
      </c>
      <c r="I1106" s="79">
        <v>0</v>
      </c>
      <c r="J1106" s="18">
        <v>0</v>
      </c>
      <c r="K1106" s="90" t="s">
        <v>1084</v>
      </c>
    </row>
    <row r="1107" spans="1:11" ht="27" customHeight="1" x14ac:dyDescent="0.25">
      <c r="A1107" s="160" t="s">
        <v>1443</v>
      </c>
      <c r="B1107" s="160"/>
      <c r="C1107" s="160"/>
      <c r="D1107" s="20"/>
      <c r="E1107" s="55"/>
      <c r="F1107" s="96">
        <f>SUM(F1101:F1106)</f>
        <v>18420.037660000002</v>
      </c>
      <c r="G1107" s="97">
        <f>SUM(G1101:G1106)</f>
        <v>0</v>
      </c>
      <c r="H1107" s="96">
        <f>SUM(H1101:H1106)</f>
        <v>17220.037660000002</v>
      </c>
      <c r="I1107" s="96">
        <f>SUM(I1101:I1106)</f>
        <v>1200</v>
      </c>
      <c r="J1107" s="18">
        <v>0</v>
      </c>
      <c r="K1107" s="17"/>
    </row>
    <row r="1108" spans="1:11" ht="73.150000000000006" customHeight="1" x14ac:dyDescent="0.25">
      <c r="A1108" s="2">
        <v>1</v>
      </c>
      <c r="B1108" s="2" t="s">
        <v>1658</v>
      </c>
      <c r="C1108" s="92" t="s">
        <v>1666</v>
      </c>
      <c r="D1108" s="10" t="s">
        <v>1434</v>
      </c>
      <c r="E1108" s="10" t="s">
        <v>23</v>
      </c>
      <c r="F1108" s="17">
        <v>16304.615159999999</v>
      </c>
      <c r="G1108" s="16">
        <v>0</v>
      </c>
      <c r="H1108" s="18">
        <v>0</v>
      </c>
      <c r="I1108" s="17">
        <v>16304.615159999999</v>
      </c>
      <c r="J1108" s="18">
        <v>0</v>
      </c>
      <c r="K1108" s="90" t="s">
        <v>281</v>
      </c>
    </row>
    <row r="1109" spans="1:11" ht="31.15" customHeight="1" x14ac:dyDescent="0.25">
      <c r="A1109" s="172" t="s">
        <v>20</v>
      </c>
      <c r="B1109" s="172"/>
      <c r="C1109" s="172"/>
      <c r="D1109" s="110"/>
      <c r="E1109" s="31"/>
      <c r="F1109" s="96">
        <f>SUM(F1108:F1108)</f>
        <v>16304.615159999999</v>
      </c>
      <c r="G1109" s="16">
        <v>0</v>
      </c>
      <c r="H1109" s="18">
        <v>0</v>
      </c>
      <c r="I1109" s="96">
        <f>SUM(I1108:I1108)</f>
        <v>16304.615159999999</v>
      </c>
      <c r="J1109" s="18">
        <v>0</v>
      </c>
      <c r="K1109" s="20"/>
    </row>
    <row r="1110" spans="1:11" ht="29.45" customHeight="1" x14ac:dyDescent="0.25">
      <c r="A1110" s="2">
        <v>1</v>
      </c>
      <c r="B1110" s="161" t="s">
        <v>1667</v>
      </c>
      <c r="C1110" s="92" t="s">
        <v>1668</v>
      </c>
      <c r="D1110" s="10" t="s">
        <v>1442</v>
      </c>
      <c r="E1110" s="10" t="s">
        <v>23</v>
      </c>
      <c r="F1110" s="17">
        <v>685.41</v>
      </c>
      <c r="G1110" s="16">
        <v>0</v>
      </c>
      <c r="H1110" s="17">
        <v>685.41</v>
      </c>
      <c r="I1110" s="18">
        <v>0</v>
      </c>
      <c r="J1110" s="18">
        <v>0</v>
      </c>
      <c r="K1110" s="90" t="s">
        <v>1084</v>
      </c>
    </row>
    <row r="1111" spans="1:11" ht="29.45" customHeight="1" x14ac:dyDescent="0.25">
      <c r="A1111" s="2">
        <v>2</v>
      </c>
      <c r="B1111" s="162"/>
      <c r="C1111" s="92" t="s">
        <v>1669</v>
      </c>
      <c r="D1111" s="10" t="s">
        <v>1434</v>
      </c>
      <c r="E1111" s="10" t="s">
        <v>23</v>
      </c>
      <c r="F1111" s="17">
        <v>2943.6</v>
      </c>
      <c r="G1111" s="16">
        <v>0</v>
      </c>
      <c r="H1111" s="17">
        <v>2943.6</v>
      </c>
      <c r="I1111" s="18">
        <v>0</v>
      </c>
      <c r="J1111" s="18">
        <v>0</v>
      </c>
      <c r="K1111" s="90" t="s">
        <v>1084</v>
      </c>
    </row>
    <row r="1112" spans="1:11" ht="29.45" customHeight="1" x14ac:dyDescent="0.25">
      <c r="A1112" s="2">
        <v>3</v>
      </c>
      <c r="B1112" s="162"/>
      <c r="C1112" s="92" t="s">
        <v>1670</v>
      </c>
      <c r="D1112" s="10" t="s">
        <v>1434</v>
      </c>
      <c r="E1112" s="10" t="s">
        <v>23</v>
      </c>
      <c r="F1112" s="17">
        <v>1188</v>
      </c>
      <c r="G1112" s="16">
        <v>0</v>
      </c>
      <c r="H1112" s="17">
        <v>1188</v>
      </c>
      <c r="I1112" s="18">
        <v>0</v>
      </c>
      <c r="J1112" s="18">
        <v>0</v>
      </c>
      <c r="K1112" s="90" t="s">
        <v>1084</v>
      </c>
    </row>
    <row r="1113" spans="1:11" ht="29.45" customHeight="1" x14ac:dyDescent="0.25">
      <c r="A1113" s="2">
        <v>4</v>
      </c>
      <c r="B1113" s="162"/>
      <c r="C1113" s="92" t="s">
        <v>1671</v>
      </c>
      <c r="D1113" s="10" t="s">
        <v>1434</v>
      </c>
      <c r="E1113" s="10" t="s">
        <v>23</v>
      </c>
      <c r="F1113" s="17">
        <v>3294.5</v>
      </c>
      <c r="G1113" s="16">
        <v>0</v>
      </c>
      <c r="H1113" s="17">
        <v>3294.5</v>
      </c>
      <c r="I1113" s="18">
        <v>0</v>
      </c>
      <c r="J1113" s="18">
        <v>0</v>
      </c>
      <c r="K1113" s="90" t="s">
        <v>1084</v>
      </c>
    </row>
    <row r="1114" spans="1:11" ht="29.45" customHeight="1" x14ac:dyDescent="0.25">
      <c r="A1114" s="2">
        <v>5</v>
      </c>
      <c r="B1114" s="162"/>
      <c r="C1114" s="92" t="s">
        <v>1672</v>
      </c>
      <c r="D1114" s="10" t="s">
        <v>1446</v>
      </c>
      <c r="E1114" s="10" t="s">
        <v>23</v>
      </c>
      <c r="F1114" s="17">
        <v>1534.83</v>
      </c>
      <c r="G1114" s="16">
        <v>0</v>
      </c>
      <c r="H1114" s="17">
        <v>1534.83</v>
      </c>
      <c r="I1114" s="18">
        <v>0</v>
      </c>
      <c r="J1114" s="18">
        <v>0</v>
      </c>
      <c r="K1114" s="90" t="s">
        <v>1084</v>
      </c>
    </row>
    <row r="1115" spans="1:11" ht="29.45" customHeight="1" x14ac:dyDescent="0.25">
      <c r="A1115" s="2">
        <v>6</v>
      </c>
      <c r="B1115" s="162"/>
      <c r="C1115" s="92" t="s">
        <v>1673</v>
      </c>
      <c r="D1115" s="10" t="s">
        <v>1434</v>
      </c>
      <c r="E1115" s="10" t="s">
        <v>23</v>
      </c>
      <c r="F1115" s="17">
        <v>1965.26</v>
      </c>
      <c r="G1115" s="16">
        <v>0</v>
      </c>
      <c r="H1115" s="17">
        <v>1965.26</v>
      </c>
      <c r="I1115" s="18">
        <v>0</v>
      </c>
      <c r="J1115" s="18">
        <v>0</v>
      </c>
      <c r="K1115" s="90" t="s">
        <v>1084</v>
      </c>
    </row>
    <row r="1116" spans="1:11" ht="29.45" customHeight="1" x14ac:dyDescent="0.25">
      <c r="A1116" s="2">
        <v>7</v>
      </c>
      <c r="B1116" s="163"/>
      <c r="C1116" s="92" t="s">
        <v>1674</v>
      </c>
      <c r="D1116" s="10" t="s">
        <v>132</v>
      </c>
      <c r="E1116" s="10" t="s">
        <v>23</v>
      </c>
      <c r="F1116" s="17">
        <v>4220.16</v>
      </c>
      <c r="G1116" s="16">
        <v>0</v>
      </c>
      <c r="H1116" s="17">
        <v>4220.16</v>
      </c>
      <c r="I1116" s="18">
        <v>0</v>
      </c>
      <c r="J1116" s="18">
        <v>0</v>
      </c>
      <c r="K1116" s="90" t="s">
        <v>1084</v>
      </c>
    </row>
    <row r="1117" spans="1:11" ht="28.9" customHeight="1" x14ac:dyDescent="0.25">
      <c r="A1117" s="160" t="s">
        <v>1443</v>
      </c>
      <c r="B1117" s="160"/>
      <c r="C1117" s="160"/>
      <c r="D1117" s="20"/>
      <c r="E1117" s="55"/>
      <c r="F1117" s="96">
        <f>SUM(F1110:F1116)</f>
        <v>15831.76</v>
      </c>
      <c r="G1117" s="97">
        <f>SUM(G1110:G1116)</f>
        <v>0</v>
      </c>
      <c r="H1117" s="96">
        <f>SUM(H1110:H1116)</f>
        <v>15831.76</v>
      </c>
      <c r="I1117" s="97">
        <f>SUM(I1110:I1116)</f>
        <v>0</v>
      </c>
      <c r="J1117" s="18">
        <v>0</v>
      </c>
      <c r="K1117" s="20"/>
    </row>
    <row r="1118" spans="1:11" ht="31.15" customHeight="1" x14ac:dyDescent="0.25">
      <c r="A1118" s="2">
        <v>1</v>
      </c>
      <c r="B1118" s="161" t="s">
        <v>1667</v>
      </c>
      <c r="C1118" s="92" t="s">
        <v>1675</v>
      </c>
      <c r="D1118" s="10" t="s">
        <v>1434</v>
      </c>
      <c r="E1118" s="10" t="s">
        <v>23</v>
      </c>
      <c r="F1118" s="17">
        <v>10000</v>
      </c>
      <c r="G1118" s="16">
        <v>0</v>
      </c>
      <c r="H1118" s="18">
        <v>0</v>
      </c>
      <c r="I1118" s="17">
        <v>10000</v>
      </c>
      <c r="J1118" s="18">
        <v>0</v>
      </c>
      <c r="K1118" s="90" t="s">
        <v>210</v>
      </c>
    </row>
    <row r="1119" spans="1:11" ht="31.15" customHeight="1" x14ac:dyDescent="0.25">
      <c r="A1119" s="2">
        <v>2</v>
      </c>
      <c r="B1119" s="163"/>
      <c r="C1119" s="92" t="s">
        <v>1676</v>
      </c>
      <c r="D1119" s="10" t="s">
        <v>1428</v>
      </c>
      <c r="E1119" s="10" t="s">
        <v>23</v>
      </c>
      <c r="F1119" s="17">
        <v>5000</v>
      </c>
      <c r="G1119" s="16">
        <v>0</v>
      </c>
      <c r="H1119" s="17">
        <v>5000</v>
      </c>
      <c r="I1119" s="79">
        <v>0</v>
      </c>
      <c r="J1119" s="18">
        <v>0</v>
      </c>
      <c r="K1119" s="90" t="s">
        <v>284</v>
      </c>
    </row>
    <row r="1120" spans="1:11" ht="28.9" customHeight="1" x14ac:dyDescent="0.25">
      <c r="A1120" s="160" t="s">
        <v>20</v>
      </c>
      <c r="B1120" s="160"/>
      <c r="C1120" s="160"/>
      <c r="D1120" s="110"/>
      <c r="E1120" s="55"/>
      <c r="F1120" s="96">
        <f>SUM(F1119:F1119)</f>
        <v>5000</v>
      </c>
      <c r="G1120" s="16">
        <v>0</v>
      </c>
      <c r="H1120" s="96">
        <f>SUM(H1119:H1119)</f>
        <v>5000</v>
      </c>
      <c r="I1120" s="79">
        <v>0</v>
      </c>
      <c r="J1120" s="18">
        <v>0</v>
      </c>
      <c r="K1120" s="20"/>
    </row>
    <row r="1121" spans="1:11" ht="90" x14ac:dyDescent="0.25">
      <c r="A1121" s="2">
        <v>1</v>
      </c>
      <c r="B1121" s="2" t="s">
        <v>1667</v>
      </c>
      <c r="C1121" s="92" t="s">
        <v>1677</v>
      </c>
      <c r="D1121" s="10" t="s">
        <v>1428</v>
      </c>
      <c r="E1121" s="10" t="s">
        <v>23</v>
      </c>
      <c r="F1121" s="17">
        <v>6000</v>
      </c>
      <c r="G1121" s="16">
        <v>0</v>
      </c>
      <c r="H1121" s="18">
        <v>0</v>
      </c>
      <c r="I1121" s="17">
        <v>6000</v>
      </c>
      <c r="J1121" s="18">
        <v>0</v>
      </c>
      <c r="K1121" s="90" t="s">
        <v>291</v>
      </c>
    </row>
    <row r="1122" spans="1:11" ht="24.6" customHeight="1" x14ac:dyDescent="0.25">
      <c r="A1122" s="160" t="s">
        <v>21</v>
      </c>
      <c r="B1122" s="160"/>
      <c r="C1122" s="160"/>
      <c r="D1122" s="110"/>
      <c r="E1122" s="55"/>
      <c r="F1122" s="96">
        <f>SUM(F1121)</f>
        <v>6000</v>
      </c>
      <c r="G1122" s="16">
        <v>0</v>
      </c>
      <c r="H1122" s="18">
        <v>0</v>
      </c>
      <c r="I1122" s="96">
        <f t="shared" ref="I1122" si="136">SUM(I1121)</f>
        <v>6000</v>
      </c>
      <c r="J1122" s="18">
        <v>0</v>
      </c>
      <c r="K1122" s="20"/>
    </row>
    <row r="1123" spans="1:11" ht="25.9" customHeight="1" x14ac:dyDescent="0.25">
      <c r="A1123" s="2">
        <v>1</v>
      </c>
      <c r="B1123" s="161" t="s">
        <v>1678</v>
      </c>
      <c r="C1123" s="92" t="s">
        <v>1679</v>
      </c>
      <c r="D1123" s="10" t="s">
        <v>1434</v>
      </c>
      <c r="E1123" s="10" t="s">
        <v>23</v>
      </c>
      <c r="F1123" s="17">
        <v>2231.4079999999999</v>
      </c>
      <c r="G1123" s="16">
        <v>0</v>
      </c>
      <c r="H1123" s="17">
        <v>2231.4079999999999</v>
      </c>
      <c r="I1123" s="18">
        <v>0</v>
      </c>
      <c r="J1123" s="18">
        <v>0</v>
      </c>
      <c r="K1123" s="90" t="s">
        <v>1084</v>
      </c>
    </row>
    <row r="1124" spans="1:11" ht="25.9" customHeight="1" x14ac:dyDescent="0.25">
      <c r="A1124" s="2">
        <v>2</v>
      </c>
      <c r="B1124" s="162"/>
      <c r="C1124" s="92" t="s">
        <v>1680</v>
      </c>
      <c r="D1124" s="10" t="s">
        <v>1436</v>
      </c>
      <c r="E1124" s="10" t="s">
        <v>23</v>
      </c>
      <c r="F1124" s="17">
        <v>1692.5260000000001</v>
      </c>
      <c r="G1124" s="16">
        <v>0</v>
      </c>
      <c r="H1124" s="17">
        <v>1692.5260000000001</v>
      </c>
      <c r="I1124" s="18">
        <v>0</v>
      </c>
      <c r="J1124" s="18">
        <v>0</v>
      </c>
      <c r="K1124" s="90" t="s">
        <v>1084</v>
      </c>
    </row>
    <row r="1125" spans="1:11" ht="25.9" customHeight="1" x14ac:dyDescent="0.25">
      <c r="A1125" s="2">
        <v>3</v>
      </c>
      <c r="B1125" s="162"/>
      <c r="C1125" s="92" t="s">
        <v>1681</v>
      </c>
      <c r="D1125" s="10" t="s">
        <v>1434</v>
      </c>
      <c r="E1125" s="10" t="s">
        <v>23</v>
      </c>
      <c r="F1125" s="17">
        <v>3875.06</v>
      </c>
      <c r="G1125" s="16">
        <v>0</v>
      </c>
      <c r="H1125" s="17">
        <v>3875.06</v>
      </c>
      <c r="I1125" s="18">
        <v>0</v>
      </c>
      <c r="J1125" s="18">
        <v>0</v>
      </c>
      <c r="K1125" s="90" t="s">
        <v>1084</v>
      </c>
    </row>
    <row r="1126" spans="1:11" ht="25.9" customHeight="1" x14ac:dyDescent="0.25">
      <c r="A1126" s="2">
        <v>4</v>
      </c>
      <c r="B1126" s="162"/>
      <c r="C1126" s="92" t="s">
        <v>1682</v>
      </c>
      <c r="D1126" s="10" t="s">
        <v>1458</v>
      </c>
      <c r="E1126" s="10" t="s">
        <v>23</v>
      </c>
      <c r="F1126" s="17">
        <v>3853.81</v>
      </c>
      <c r="G1126" s="16">
        <v>0</v>
      </c>
      <c r="H1126" s="17">
        <v>3853.81</v>
      </c>
      <c r="I1126" s="18">
        <v>0</v>
      </c>
      <c r="J1126" s="18">
        <v>0</v>
      </c>
      <c r="K1126" s="90" t="s">
        <v>1084</v>
      </c>
    </row>
    <row r="1127" spans="1:11" ht="25.9" customHeight="1" x14ac:dyDescent="0.25">
      <c r="A1127" s="2">
        <v>5</v>
      </c>
      <c r="B1127" s="163"/>
      <c r="C1127" s="92" t="s">
        <v>1683</v>
      </c>
      <c r="D1127" s="10" t="s">
        <v>1434</v>
      </c>
      <c r="E1127" s="10" t="s">
        <v>23</v>
      </c>
      <c r="F1127" s="17">
        <v>6910.9489999999996</v>
      </c>
      <c r="G1127" s="16">
        <v>0</v>
      </c>
      <c r="H1127" s="17">
        <v>6910.9489999999996</v>
      </c>
      <c r="I1127" s="18">
        <v>0</v>
      </c>
      <c r="J1127" s="18">
        <v>0</v>
      </c>
      <c r="K1127" s="90" t="s">
        <v>37</v>
      </c>
    </row>
    <row r="1128" spans="1:11" ht="31.9" customHeight="1" x14ac:dyDescent="0.25">
      <c r="A1128" s="160" t="s">
        <v>1443</v>
      </c>
      <c r="B1128" s="160"/>
      <c r="C1128" s="160"/>
      <c r="D1128" s="20"/>
      <c r="E1128" s="55"/>
      <c r="F1128" s="96">
        <f>SUM(F1123:F1127)</f>
        <v>18563.753000000001</v>
      </c>
      <c r="G1128" s="97">
        <f>SUM(G1123:G1127)</f>
        <v>0</v>
      </c>
      <c r="H1128" s="96">
        <f>SUM(H1123:H1127)</f>
        <v>18563.753000000001</v>
      </c>
      <c r="I1128" s="97">
        <f>SUM(I1123:I1127)</f>
        <v>0</v>
      </c>
      <c r="J1128" s="18">
        <v>0</v>
      </c>
      <c r="K1128" s="96"/>
    </row>
    <row r="1129" spans="1:11" ht="29.45" customHeight="1" x14ac:dyDescent="0.25">
      <c r="A1129" s="102">
        <v>1</v>
      </c>
      <c r="B1129" s="161" t="s">
        <v>1684</v>
      </c>
      <c r="C1129" s="109" t="s">
        <v>1685</v>
      </c>
      <c r="D1129" s="10" t="s">
        <v>1686</v>
      </c>
      <c r="E1129" s="10" t="s">
        <v>23</v>
      </c>
      <c r="F1129" s="107">
        <v>104</v>
      </c>
      <c r="G1129" s="16">
        <v>0</v>
      </c>
      <c r="H1129" s="107">
        <v>52</v>
      </c>
      <c r="I1129" s="107">
        <v>52</v>
      </c>
      <c r="J1129" s="18">
        <v>0</v>
      </c>
      <c r="K1129" s="90" t="s">
        <v>54</v>
      </c>
    </row>
    <row r="1130" spans="1:11" ht="29.45" customHeight="1" x14ac:dyDescent="0.25">
      <c r="A1130" s="102">
        <v>2</v>
      </c>
      <c r="B1130" s="162"/>
      <c r="C1130" s="109" t="s">
        <v>1687</v>
      </c>
      <c r="D1130" s="10" t="s">
        <v>1688</v>
      </c>
      <c r="E1130" s="10" t="s">
        <v>23</v>
      </c>
      <c r="F1130" s="107">
        <v>460</v>
      </c>
      <c r="G1130" s="16">
        <v>0</v>
      </c>
      <c r="H1130" s="107">
        <v>220</v>
      </c>
      <c r="I1130" s="107">
        <v>240</v>
      </c>
      <c r="J1130" s="18">
        <v>0</v>
      </c>
      <c r="K1130" s="90" t="s">
        <v>1084</v>
      </c>
    </row>
    <row r="1131" spans="1:11" ht="29.45" customHeight="1" x14ac:dyDescent="0.25">
      <c r="A1131" s="102">
        <v>3</v>
      </c>
      <c r="B1131" s="162"/>
      <c r="C1131" s="109" t="s">
        <v>1689</v>
      </c>
      <c r="D1131" s="10" t="s">
        <v>1690</v>
      </c>
      <c r="E1131" s="10" t="s">
        <v>23</v>
      </c>
      <c r="F1131" s="107">
        <v>204.7</v>
      </c>
      <c r="G1131" s="16">
        <v>0</v>
      </c>
      <c r="H1131" s="107">
        <v>97.9</v>
      </c>
      <c r="I1131" s="107">
        <v>106.8</v>
      </c>
      <c r="J1131" s="18">
        <v>0</v>
      </c>
      <c r="K1131" s="90" t="s">
        <v>1084</v>
      </c>
    </row>
    <row r="1132" spans="1:11" ht="29.45" customHeight="1" x14ac:dyDescent="0.25">
      <c r="A1132" s="102">
        <v>4</v>
      </c>
      <c r="B1132" s="162"/>
      <c r="C1132" s="109" t="s">
        <v>1691</v>
      </c>
      <c r="D1132" s="10" t="s">
        <v>1692</v>
      </c>
      <c r="E1132" s="10" t="s">
        <v>23</v>
      </c>
      <c r="F1132" s="107">
        <v>73.599999999999994</v>
      </c>
      <c r="G1132" s="16">
        <v>0</v>
      </c>
      <c r="H1132" s="107">
        <v>35.200000000000003</v>
      </c>
      <c r="I1132" s="107">
        <v>38.4</v>
      </c>
      <c r="J1132" s="18">
        <v>0</v>
      </c>
      <c r="K1132" s="90" t="s">
        <v>1084</v>
      </c>
    </row>
    <row r="1133" spans="1:11" ht="29.45" customHeight="1" x14ac:dyDescent="0.25">
      <c r="A1133" s="102">
        <v>5</v>
      </c>
      <c r="B1133" s="162"/>
      <c r="C1133" s="109" t="s">
        <v>1693</v>
      </c>
      <c r="D1133" s="10" t="s">
        <v>1486</v>
      </c>
      <c r="E1133" s="10" t="s">
        <v>23</v>
      </c>
      <c r="F1133" s="107">
        <v>2890</v>
      </c>
      <c r="G1133" s="16">
        <v>0</v>
      </c>
      <c r="H1133" s="107">
        <v>2890</v>
      </c>
      <c r="I1133" s="108">
        <v>0</v>
      </c>
      <c r="J1133" s="18">
        <v>0</v>
      </c>
      <c r="K1133" s="90" t="s">
        <v>1084</v>
      </c>
    </row>
    <row r="1134" spans="1:11" ht="29.45" customHeight="1" x14ac:dyDescent="0.25">
      <c r="A1134" s="102">
        <v>6</v>
      </c>
      <c r="B1134" s="162"/>
      <c r="C1134" s="109" t="s">
        <v>1694</v>
      </c>
      <c r="D1134" s="10" t="s">
        <v>1446</v>
      </c>
      <c r="E1134" s="10" t="s">
        <v>23</v>
      </c>
      <c r="F1134" s="107">
        <v>1225.9000000000001</v>
      </c>
      <c r="G1134" s="16">
        <v>0</v>
      </c>
      <c r="H1134" s="107">
        <v>1225.9000000000001</v>
      </c>
      <c r="I1134" s="108">
        <v>0</v>
      </c>
      <c r="J1134" s="18">
        <v>0</v>
      </c>
      <c r="K1134" s="90" t="s">
        <v>1084</v>
      </c>
    </row>
    <row r="1135" spans="1:11" ht="29.45" customHeight="1" x14ac:dyDescent="0.25">
      <c r="A1135" s="102">
        <v>7</v>
      </c>
      <c r="B1135" s="162"/>
      <c r="C1135" s="109" t="s">
        <v>1695</v>
      </c>
      <c r="D1135" s="10" t="s">
        <v>1696</v>
      </c>
      <c r="E1135" s="10" t="s">
        <v>23</v>
      </c>
      <c r="F1135" s="107">
        <v>3090.5</v>
      </c>
      <c r="G1135" s="16">
        <v>0</v>
      </c>
      <c r="H1135" s="107">
        <v>3090.5</v>
      </c>
      <c r="I1135" s="108">
        <v>0</v>
      </c>
      <c r="J1135" s="18">
        <v>0</v>
      </c>
      <c r="K1135" s="90" t="s">
        <v>1084</v>
      </c>
    </row>
    <row r="1136" spans="1:11" ht="29.45" customHeight="1" x14ac:dyDescent="0.25">
      <c r="A1136" s="102">
        <v>8</v>
      </c>
      <c r="B1136" s="162"/>
      <c r="C1136" s="109" t="s">
        <v>1697</v>
      </c>
      <c r="D1136" s="10" t="s">
        <v>1436</v>
      </c>
      <c r="E1136" s="10" t="s">
        <v>23</v>
      </c>
      <c r="F1136" s="107">
        <v>1518.43</v>
      </c>
      <c r="G1136" s="16">
        <v>0</v>
      </c>
      <c r="H1136" s="107">
        <v>1518.43</v>
      </c>
      <c r="I1136" s="108">
        <v>0</v>
      </c>
      <c r="J1136" s="18">
        <v>0</v>
      </c>
      <c r="K1136" s="90" t="s">
        <v>1084</v>
      </c>
    </row>
    <row r="1137" spans="1:11" ht="29.45" customHeight="1" x14ac:dyDescent="0.25">
      <c r="A1137" s="102">
        <v>9</v>
      </c>
      <c r="B1137" s="162"/>
      <c r="C1137" s="109" t="s">
        <v>1698</v>
      </c>
      <c r="D1137" s="10" t="s">
        <v>1442</v>
      </c>
      <c r="E1137" s="10" t="s">
        <v>23</v>
      </c>
      <c r="F1137" s="107">
        <v>540.12</v>
      </c>
      <c r="G1137" s="16">
        <v>0</v>
      </c>
      <c r="H1137" s="107">
        <v>540.12</v>
      </c>
      <c r="I1137" s="108">
        <v>0</v>
      </c>
      <c r="J1137" s="18">
        <v>0</v>
      </c>
      <c r="K1137" s="90" t="s">
        <v>1084</v>
      </c>
    </row>
    <row r="1138" spans="1:11" ht="29.45" customHeight="1" x14ac:dyDescent="0.25">
      <c r="A1138" s="102">
        <v>10</v>
      </c>
      <c r="B1138" s="163"/>
      <c r="C1138" s="109" t="s">
        <v>1699</v>
      </c>
      <c r="D1138" s="10" t="s">
        <v>1458</v>
      </c>
      <c r="E1138" s="10" t="s">
        <v>23</v>
      </c>
      <c r="F1138" s="107">
        <v>3365</v>
      </c>
      <c r="G1138" s="16">
        <v>0</v>
      </c>
      <c r="H1138" s="107">
        <v>3365</v>
      </c>
      <c r="I1138" s="108">
        <v>0</v>
      </c>
      <c r="J1138" s="18">
        <v>0</v>
      </c>
      <c r="K1138" s="90" t="s">
        <v>1084</v>
      </c>
    </row>
    <row r="1139" spans="1:11" ht="36.6" customHeight="1" x14ac:dyDescent="0.25">
      <c r="A1139" s="160" t="s">
        <v>1443</v>
      </c>
      <c r="B1139" s="160"/>
      <c r="C1139" s="160"/>
      <c r="D1139" s="20"/>
      <c r="E1139" s="55"/>
      <c r="F1139" s="96">
        <f>SUM(F1129:F1138)</f>
        <v>13472.250000000002</v>
      </c>
      <c r="G1139" s="16">
        <v>0</v>
      </c>
      <c r="H1139" s="96">
        <f t="shared" ref="H1139:I1139" si="137">SUM(H1129:H1138)</f>
        <v>13035.050000000001</v>
      </c>
      <c r="I1139" s="96">
        <f t="shared" si="137"/>
        <v>437.2</v>
      </c>
      <c r="J1139" s="18">
        <v>0</v>
      </c>
      <c r="K1139" s="96"/>
    </row>
    <row r="1140" spans="1:11" ht="90" x14ac:dyDescent="0.25">
      <c r="A1140" s="2">
        <v>1</v>
      </c>
      <c r="B1140" s="2" t="s">
        <v>1684</v>
      </c>
      <c r="C1140" s="92" t="s">
        <v>1700</v>
      </c>
      <c r="D1140" s="10" t="s">
        <v>1458</v>
      </c>
      <c r="E1140" s="10" t="s">
        <v>23</v>
      </c>
      <c r="F1140" s="17">
        <v>15630.528</v>
      </c>
      <c r="G1140" s="16">
        <v>0</v>
      </c>
      <c r="H1140" s="18">
        <v>0</v>
      </c>
      <c r="I1140" s="17">
        <v>15630.528</v>
      </c>
      <c r="J1140" s="18">
        <v>0</v>
      </c>
      <c r="K1140" s="90" t="s">
        <v>438</v>
      </c>
    </row>
    <row r="1141" spans="1:11" ht="28.9" customHeight="1" x14ac:dyDescent="0.25">
      <c r="A1141" s="160" t="s">
        <v>21</v>
      </c>
      <c r="B1141" s="160"/>
      <c r="C1141" s="160"/>
      <c r="D1141" s="110"/>
      <c r="E1141" s="55"/>
      <c r="F1141" s="96">
        <f>SUM(F1140)</f>
        <v>15630.528</v>
      </c>
      <c r="G1141" s="16">
        <v>0</v>
      </c>
      <c r="H1141" s="18">
        <v>0</v>
      </c>
      <c r="I1141" s="96">
        <f t="shared" ref="I1141" si="138">SUM(I1140)</f>
        <v>15630.528</v>
      </c>
      <c r="J1141" s="18">
        <v>0</v>
      </c>
      <c r="K1141" s="2"/>
    </row>
    <row r="1142" spans="1:11" ht="30" customHeight="1" x14ac:dyDescent="0.25">
      <c r="A1142" s="102">
        <v>1</v>
      </c>
      <c r="B1142" s="161" t="s">
        <v>1701</v>
      </c>
      <c r="C1142" s="92" t="s">
        <v>1702</v>
      </c>
      <c r="D1142" s="10" t="s">
        <v>1458</v>
      </c>
      <c r="E1142" s="10" t="s">
        <v>23</v>
      </c>
      <c r="F1142" s="17">
        <v>2634.5</v>
      </c>
      <c r="G1142" s="16">
        <v>0</v>
      </c>
      <c r="H1142" s="17">
        <v>2634.5</v>
      </c>
      <c r="I1142" s="18">
        <v>0</v>
      </c>
      <c r="J1142" s="18">
        <v>0</v>
      </c>
      <c r="K1142" s="90" t="s">
        <v>1084</v>
      </c>
    </row>
    <row r="1143" spans="1:11" ht="30" customHeight="1" x14ac:dyDescent="0.25">
      <c r="A1143" s="102">
        <v>2</v>
      </c>
      <c r="B1143" s="162"/>
      <c r="C1143" s="92" t="s">
        <v>1703</v>
      </c>
      <c r="D1143" s="10" t="s">
        <v>1436</v>
      </c>
      <c r="E1143" s="10" t="s">
        <v>23</v>
      </c>
      <c r="F1143" s="17">
        <v>886.05</v>
      </c>
      <c r="G1143" s="16">
        <v>0</v>
      </c>
      <c r="H1143" s="17">
        <v>886.05</v>
      </c>
      <c r="I1143" s="18">
        <v>0</v>
      </c>
      <c r="J1143" s="18">
        <v>0</v>
      </c>
      <c r="K1143" s="90" t="s">
        <v>1084</v>
      </c>
    </row>
    <row r="1144" spans="1:11" ht="30" customHeight="1" x14ac:dyDescent="0.25">
      <c r="A1144" s="102">
        <v>3</v>
      </c>
      <c r="B1144" s="162"/>
      <c r="C1144" s="92" t="s">
        <v>1704</v>
      </c>
      <c r="D1144" s="10" t="s">
        <v>1486</v>
      </c>
      <c r="E1144" s="10" t="s">
        <v>23</v>
      </c>
      <c r="F1144" s="17">
        <v>2211</v>
      </c>
      <c r="G1144" s="16">
        <v>0</v>
      </c>
      <c r="H1144" s="17">
        <v>2211</v>
      </c>
      <c r="I1144" s="18">
        <v>0</v>
      </c>
      <c r="J1144" s="18">
        <v>0</v>
      </c>
      <c r="K1144" s="90" t="s">
        <v>1084</v>
      </c>
    </row>
    <row r="1145" spans="1:11" ht="30" customHeight="1" x14ac:dyDescent="0.25">
      <c r="A1145" s="102">
        <v>4</v>
      </c>
      <c r="B1145" s="162"/>
      <c r="C1145" s="92" t="s">
        <v>1705</v>
      </c>
      <c r="D1145" s="10" t="s">
        <v>1442</v>
      </c>
      <c r="E1145" s="10" t="s">
        <v>23</v>
      </c>
      <c r="F1145" s="17">
        <v>480.37</v>
      </c>
      <c r="G1145" s="16">
        <v>0</v>
      </c>
      <c r="H1145" s="17">
        <v>480.37</v>
      </c>
      <c r="I1145" s="18">
        <v>0</v>
      </c>
      <c r="J1145" s="18">
        <v>0</v>
      </c>
      <c r="K1145" s="90" t="s">
        <v>1084</v>
      </c>
    </row>
    <row r="1146" spans="1:11" ht="30" customHeight="1" x14ac:dyDescent="0.25">
      <c r="A1146" s="102">
        <v>5</v>
      </c>
      <c r="B1146" s="162"/>
      <c r="C1146" s="92" t="s">
        <v>1706</v>
      </c>
      <c r="D1146" s="10" t="s">
        <v>1707</v>
      </c>
      <c r="E1146" s="10" t="s">
        <v>23</v>
      </c>
      <c r="F1146" s="17">
        <v>335.5</v>
      </c>
      <c r="G1146" s="16">
        <v>0</v>
      </c>
      <c r="H1146" s="17">
        <v>335.5</v>
      </c>
      <c r="I1146" s="18">
        <v>0</v>
      </c>
      <c r="J1146" s="18">
        <v>0</v>
      </c>
      <c r="K1146" s="90" t="s">
        <v>1084</v>
      </c>
    </row>
    <row r="1147" spans="1:11" ht="30" customHeight="1" x14ac:dyDescent="0.25">
      <c r="A1147" s="102">
        <v>6</v>
      </c>
      <c r="B1147" s="163"/>
      <c r="C1147" s="92" t="s">
        <v>1708</v>
      </c>
      <c r="D1147" s="10" t="s">
        <v>1709</v>
      </c>
      <c r="E1147" s="10" t="s">
        <v>23</v>
      </c>
      <c r="F1147" s="17">
        <v>1462.56</v>
      </c>
      <c r="G1147" s="16">
        <v>0</v>
      </c>
      <c r="H1147" s="17">
        <v>1462.56</v>
      </c>
      <c r="I1147" s="18">
        <v>0</v>
      </c>
      <c r="J1147" s="18">
        <v>0</v>
      </c>
      <c r="K1147" s="90" t="s">
        <v>1084</v>
      </c>
    </row>
    <row r="1148" spans="1:11" x14ac:dyDescent="0.25">
      <c r="A1148" s="160" t="s">
        <v>1443</v>
      </c>
      <c r="B1148" s="160"/>
      <c r="C1148" s="160"/>
      <c r="D1148" s="20"/>
      <c r="E1148" s="55"/>
      <c r="F1148" s="96">
        <f>SUM(F1142:F1147)</f>
        <v>8009.98</v>
      </c>
      <c r="G1148" s="97">
        <f>SUM(G1142:G1147)</f>
        <v>0</v>
      </c>
      <c r="H1148" s="96">
        <f>SUM(H1142:H1147)</f>
        <v>8009.98</v>
      </c>
      <c r="I1148" s="97">
        <f>SUM(I1142:I1147)</f>
        <v>0</v>
      </c>
      <c r="J1148" s="18">
        <v>0</v>
      </c>
      <c r="K1148" s="17"/>
    </row>
    <row r="1149" spans="1:11" ht="90" x14ac:dyDescent="0.25">
      <c r="A1149" s="102">
        <v>1</v>
      </c>
      <c r="B1149" s="2" t="s">
        <v>1701</v>
      </c>
      <c r="C1149" s="92" t="s">
        <v>1710</v>
      </c>
      <c r="D1149" s="10" t="s">
        <v>1434</v>
      </c>
      <c r="E1149" s="10" t="s">
        <v>23</v>
      </c>
      <c r="F1149" s="17">
        <v>2162.2469999999998</v>
      </c>
      <c r="G1149" s="16">
        <v>0</v>
      </c>
      <c r="H1149" s="17">
        <v>2162.2469999999998</v>
      </c>
      <c r="I1149" s="18">
        <v>0</v>
      </c>
      <c r="J1149" s="18">
        <v>0</v>
      </c>
      <c r="K1149" s="90" t="s">
        <v>424</v>
      </c>
    </row>
    <row r="1150" spans="1:11" ht="30.6" customHeight="1" x14ac:dyDescent="0.25">
      <c r="A1150" s="160" t="s">
        <v>20</v>
      </c>
      <c r="B1150" s="160"/>
      <c r="C1150" s="160"/>
      <c r="D1150" s="110"/>
      <c r="E1150" s="55"/>
      <c r="F1150" s="96">
        <f>SUM(F1149:F1149)</f>
        <v>2162.2469999999998</v>
      </c>
      <c r="G1150" s="16">
        <v>0</v>
      </c>
      <c r="H1150" s="96">
        <f>SUM(H1149:H1149)</f>
        <v>2162.2469999999998</v>
      </c>
      <c r="I1150" s="97">
        <f>SUM(I1149:I1149)</f>
        <v>0</v>
      </c>
      <c r="J1150" s="18">
        <v>0</v>
      </c>
      <c r="K1150" s="2"/>
    </row>
    <row r="1151" spans="1:11" ht="85.9" customHeight="1" x14ac:dyDescent="0.25">
      <c r="A1151" s="102">
        <v>1</v>
      </c>
      <c r="B1151" s="2" t="s">
        <v>1701</v>
      </c>
      <c r="C1151" s="92" t="s">
        <v>1711</v>
      </c>
      <c r="D1151" s="10" t="s">
        <v>1434</v>
      </c>
      <c r="E1151" s="10" t="s">
        <v>23</v>
      </c>
      <c r="F1151" s="17">
        <v>8805.8070000000007</v>
      </c>
      <c r="G1151" s="16">
        <v>0</v>
      </c>
      <c r="H1151" s="18">
        <v>0</v>
      </c>
      <c r="I1151" s="17">
        <v>8805.8070000000007</v>
      </c>
      <c r="J1151" s="18">
        <v>0</v>
      </c>
      <c r="K1151" s="90" t="s">
        <v>438</v>
      </c>
    </row>
    <row r="1152" spans="1:11" ht="29.45" customHeight="1" x14ac:dyDescent="0.25">
      <c r="A1152" s="160" t="s">
        <v>21</v>
      </c>
      <c r="B1152" s="160"/>
      <c r="C1152" s="160"/>
      <c r="D1152" s="110"/>
      <c r="E1152" s="55"/>
      <c r="F1152" s="96">
        <f>SUM(F1151)</f>
        <v>8805.8070000000007</v>
      </c>
      <c r="G1152" s="16">
        <v>0</v>
      </c>
      <c r="H1152" s="18">
        <v>0</v>
      </c>
      <c r="I1152" s="96">
        <f t="shared" ref="I1152" si="139">SUM(I1151)</f>
        <v>8805.8070000000007</v>
      </c>
      <c r="J1152" s="18">
        <v>0</v>
      </c>
      <c r="K1152" s="2"/>
    </row>
    <row r="1153" spans="1:11" ht="27.6" customHeight="1" x14ac:dyDescent="0.25">
      <c r="A1153" s="102">
        <v>1</v>
      </c>
      <c r="B1153" s="161" t="s">
        <v>1712</v>
      </c>
      <c r="C1153" s="92" t="s">
        <v>1713</v>
      </c>
      <c r="D1153" s="10" t="s">
        <v>1436</v>
      </c>
      <c r="E1153" s="10" t="s">
        <v>23</v>
      </c>
      <c r="F1153" s="17">
        <v>1661.665</v>
      </c>
      <c r="G1153" s="16">
        <v>0</v>
      </c>
      <c r="H1153" s="17">
        <v>1661.665</v>
      </c>
      <c r="I1153" s="18">
        <v>0</v>
      </c>
      <c r="J1153" s="18">
        <v>0</v>
      </c>
      <c r="K1153" s="112" t="s">
        <v>54</v>
      </c>
    </row>
    <row r="1154" spans="1:11" ht="27.6" customHeight="1" x14ac:dyDescent="0.25">
      <c r="A1154" s="102">
        <v>2</v>
      </c>
      <c r="B1154" s="162"/>
      <c r="C1154" s="92" t="s">
        <v>1714</v>
      </c>
      <c r="D1154" s="10" t="s">
        <v>1442</v>
      </c>
      <c r="E1154" s="10" t="s">
        <v>23</v>
      </c>
      <c r="F1154" s="17">
        <v>749.49</v>
      </c>
      <c r="G1154" s="16">
        <v>0</v>
      </c>
      <c r="H1154" s="17">
        <v>749.49</v>
      </c>
      <c r="I1154" s="18">
        <v>0</v>
      </c>
      <c r="J1154" s="18">
        <v>0</v>
      </c>
      <c r="K1154" s="112" t="s">
        <v>54</v>
      </c>
    </row>
    <row r="1155" spans="1:11" ht="27.6" customHeight="1" x14ac:dyDescent="0.25">
      <c r="A1155" s="102">
        <v>3</v>
      </c>
      <c r="B1155" s="162"/>
      <c r="C1155" s="92" t="s">
        <v>1715</v>
      </c>
      <c r="D1155" s="10" t="s">
        <v>1458</v>
      </c>
      <c r="E1155" s="10" t="s">
        <v>23</v>
      </c>
      <c r="F1155" s="17">
        <v>4014.1419999999998</v>
      </c>
      <c r="G1155" s="16">
        <v>0</v>
      </c>
      <c r="H1155" s="17">
        <v>4014.1419999999998</v>
      </c>
      <c r="I1155" s="18">
        <v>0</v>
      </c>
      <c r="J1155" s="18">
        <v>0</v>
      </c>
      <c r="K1155" s="112" t="s">
        <v>54</v>
      </c>
    </row>
    <row r="1156" spans="1:11" ht="27.6" customHeight="1" x14ac:dyDescent="0.25">
      <c r="A1156" s="102">
        <v>4</v>
      </c>
      <c r="B1156" s="162"/>
      <c r="C1156" s="92" t="s">
        <v>1716</v>
      </c>
      <c r="D1156" s="10" t="s">
        <v>1486</v>
      </c>
      <c r="E1156" s="10" t="s">
        <v>23</v>
      </c>
      <c r="F1156" s="17">
        <v>3777.1</v>
      </c>
      <c r="G1156" s="16">
        <v>0</v>
      </c>
      <c r="H1156" s="17">
        <v>3777.1</v>
      </c>
      <c r="I1156" s="18">
        <v>0</v>
      </c>
      <c r="J1156" s="18">
        <v>0</v>
      </c>
      <c r="K1156" s="112" t="s">
        <v>54</v>
      </c>
    </row>
    <row r="1157" spans="1:11" ht="27.6" customHeight="1" x14ac:dyDescent="0.25">
      <c r="A1157" s="102">
        <v>5</v>
      </c>
      <c r="B1157" s="162"/>
      <c r="C1157" s="92" t="s">
        <v>1717</v>
      </c>
      <c r="D1157" s="10" t="s">
        <v>1696</v>
      </c>
      <c r="E1157" s="10" t="s">
        <v>23</v>
      </c>
      <c r="F1157" s="17">
        <v>2099.81907</v>
      </c>
      <c r="G1157" s="16">
        <v>0</v>
      </c>
      <c r="H1157" s="17">
        <v>2099.81907</v>
      </c>
      <c r="I1157" s="18">
        <v>0</v>
      </c>
      <c r="J1157" s="18">
        <v>0</v>
      </c>
      <c r="K1157" s="112" t="s">
        <v>54</v>
      </c>
    </row>
    <row r="1158" spans="1:11" ht="27.6" customHeight="1" x14ac:dyDescent="0.25">
      <c r="A1158" s="102">
        <v>6</v>
      </c>
      <c r="B1158" s="162"/>
      <c r="C1158" s="92" t="s">
        <v>1718</v>
      </c>
      <c r="D1158" s="10" t="s">
        <v>1719</v>
      </c>
      <c r="E1158" s="10" t="s">
        <v>23</v>
      </c>
      <c r="F1158" s="17">
        <v>165.685</v>
      </c>
      <c r="G1158" s="16">
        <v>0</v>
      </c>
      <c r="H1158" s="17">
        <v>165.685</v>
      </c>
      <c r="I1158" s="18">
        <v>0</v>
      </c>
      <c r="J1158" s="18">
        <v>0</v>
      </c>
      <c r="K1158" s="112" t="s">
        <v>54</v>
      </c>
    </row>
    <row r="1159" spans="1:11" ht="27.6" customHeight="1" x14ac:dyDescent="0.25">
      <c r="A1159" s="102">
        <v>7</v>
      </c>
      <c r="B1159" s="162"/>
      <c r="C1159" s="92" t="s">
        <v>1720</v>
      </c>
      <c r="D1159" s="10" t="s">
        <v>1246</v>
      </c>
      <c r="E1159" s="10" t="s">
        <v>23</v>
      </c>
      <c r="F1159" s="17">
        <v>112.8</v>
      </c>
      <c r="G1159" s="16">
        <v>0</v>
      </c>
      <c r="H1159" s="17">
        <v>112.8</v>
      </c>
      <c r="I1159" s="18">
        <v>0</v>
      </c>
      <c r="J1159" s="18">
        <v>0</v>
      </c>
      <c r="K1159" s="112" t="s">
        <v>54</v>
      </c>
    </row>
    <row r="1160" spans="1:11" ht="34.15" customHeight="1" x14ac:dyDescent="0.25">
      <c r="A1160" s="102">
        <v>8</v>
      </c>
      <c r="B1160" s="163"/>
      <c r="C1160" s="92" t="s">
        <v>1721</v>
      </c>
      <c r="D1160" s="10" t="s">
        <v>1390</v>
      </c>
      <c r="E1160" s="10" t="s">
        <v>23</v>
      </c>
      <c r="F1160" s="17">
        <v>96.400149999999996</v>
      </c>
      <c r="G1160" s="16">
        <v>0</v>
      </c>
      <c r="H1160" s="17">
        <v>48.200099999999999</v>
      </c>
      <c r="I1160" s="17">
        <v>48.200050000000005</v>
      </c>
      <c r="J1160" s="18">
        <v>0</v>
      </c>
      <c r="K1160" s="112" t="s">
        <v>418</v>
      </c>
    </row>
    <row r="1161" spans="1:11" ht="29.45" customHeight="1" x14ac:dyDescent="0.25">
      <c r="A1161" s="160" t="s">
        <v>1443</v>
      </c>
      <c r="B1161" s="160"/>
      <c r="C1161" s="160"/>
      <c r="D1161" s="110"/>
      <c r="E1161" s="55"/>
      <c r="F1161" s="96">
        <f>SUM(F1153:F1160)</f>
        <v>12677.101219999997</v>
      </c>
      <c r="G1161" s="97">
        <f>SUM(G1153:G1160)</f>
        <v>0</v>
      </c>
      <c r="H1161" s="96">
        <f>SUM(H1153:H1160)</f>
        <v>12628.901169999997</v>
      </c>
      <c r="I1161" s="96">
        <f>SUM(I1153:I1160)</f>
        <v>48.200050000000005</v>
      </c>
      <c r="J1161" s="18">
        <v>0</v>
      </c>
      <c r="K1161" s="20"/>
    </row>
    <row r="1162" spans="1:11" ht="90" x14ac:dyDescent="0.25">
      <c r="A1162" s="100">
        <v>1</v>
      </c>
      <c r="B1162" s="2" t="s">
        <v>1712</v>
      </c>
      <c r="C1162" s="92" t="s">
        <v>1722</v>
      </c>
      <c r="D1162" s="10" t="s">
        <v>1434</v>
      </c>
      <c r="E1162" s="10" t="s">
        <v>23</v>
      </c>
      <c r="F1162" s="17">
        <v>17000</v>
      </c>
      <c r="G1162" s="16">
        <v>0</v>
      </c>
      <c r="H1162" s="18">
        <v>0</v>
      </c>
      <c r="I1162" s="17">
        <v>17000</v>
      </c>
      <c r="J1162" s="18">
        <v>0</v>
      </c>
      <c r="K1162" s="112" t="s">
        <v>210</v>
      </c>
    </row>
    <row r="1163" spans="1:11" ht="31.9" customHeight="1" x14ac:dyDescent="0.25">
      <c r="A1163" s="160" t="s">
        <v>20</v>
      </c>
      <c r="B1163" s="160"/>
      <c r="C1163" s="160"/>
      <c r="D1163" s="110"/>
      <c r="E1163" s="110"/>
      <c r="F1163" s="96">
        <f>SUM(F1162)</f>
        <v>17000</v>
      </c>
      <c r="G1163" s="16">
        <v>0</v>
      </c>
      <c r="H1163" s="18">
        <v>0</v>
      </c>
      <c r="I1163" s="96">
        <f t="shared" ref="I1163" si="140">SUM(I1162)</f>
        <v>17000</v>
      </c>
      <c r="J1163" s="18">
        <v>0</v>
      </c>
      <c r="K1163" s="113"/>
    </row>
    <row r="1164" spans="1:11" ht="90" x14ac:dyDescent="0.25">
      <c r="A1164" s="100">
        <v>1</v>
      </c>
      <c r="B1164" s="2" t="s">
        <v>1712</v>
      </c>
      <c r="C1164" s="92" t="s">
        <v>1723</v>
      </c>
      <c r="D1164" s="10" t="s">
        <v>1428</v>
      </c>
      <c r="E1164" s="10" t="s">
        <v>23</v>
      </c>
      <c r="F1164" s="17">
        <v>10000</v>
      </c>
      <c r="G1164" s="16">
        <v>0</v>
      </c>
      <c r="H1164" s="18">
        <v>0</v>
      </c>
      <c r="I1164" s="17">
        <v>10000</v>
      </c>
      <c r="J1164" s="18">
        <v>0</v>
      </c>
      <c r="K1164" s="112" t="s">
        <v>291</v>
      </c>
    </row>
    <row r="1165" spans="1:11" ht="28.9" customHeight="1" x14ac:dyDescent="0.25">
      <c r="A1165" s="160" t="s">
        <v>21</v>
      </c>
      <c r="B1165" s="160"/>
      <c r="C1165" s="160"/>
      <c r="D1165" s="110"/>
      <c r="E1165" s="55"/>
      <c r="F1165" s="96">
        <f>SUM(F1164)</f>
        <v>10000</v>
      </c>
      <c r="G1165" s="16">
        <v>0</v>
      </c>
      <c r="H1165" s="18">
        <v>0</v>
      </c>
      <c r="I1165" s="96">
        <f t="shared" ref="I1165" si="141">SUM(I1164)</f>
        <v>10000</v>
      </c>
      <c r="J1165" s="18">
        <v>0</v>
      </c>
      <c r="K1165" s="2"/>
    </row>
    <row r="1166" spans="1:11" ht="28.15" customHeight="1" x14ac:dyDescent="0.25">
      <c r="A1166" s="100">
        <v>1</v>
      </c>
      <c r="B1166" s="161" t="s">
        <v>1724</v>
      </c>
      <c r="C1166" s="10" t="s">
        <v>1725</v>
      </c>
      <c r="D1166" s="10" t="s">
        <v>1434</v>
      </c>
      <c r="E1166" s="10" t="s">
        <v>23</v>
      </c>
      <c r="F1166" s="17">
        <v>1895.654</v>
      </c>
      <c r="G1166" s="16">
        <v>0</v>
      </c>
      <c r="H1166" s="17">
        <v>1895.654</v>
      </c>
      <c r="I1166" s="18">
        <v>0</v>
      </c>
      <c r="J1166" s="18">
        <v>0</v>
      </c>
      <c r="K1166" s="90" t="s">
        <v>1084</v>
      </c>
    </row>
    <row r="1167" spans="1:11" ht="28.15" customHeight="1" x14ac:dyDescent="0.25">
      <c r="A1167" s="102">
        <v>2</v>
      </c>
      <c r="B1167" s="162"/>
      <c r="C1167" s="10" t="s">
        <v>1726</v>
      </c>
      <c r="D1167" s="10" t="s">
        <v>132</v>
      </c>
      <c r="E1167" s="10" t="s">
        <v>23</v>
      </c>
      <c r="F1167" s="17">
        <v>5045.76</v>
      </c>
      <c r="G1167" s="17">
        <v>2945.76</v>
      </c>
      <c r="H1167" s="17">
        <v>2100</v>
      </c>
      <c r="I1167" s="18">
        <v>0</v>
      </c>
      <c r="J1167" s="18">
        <v>0</v>
      </c>
      <c r="K1167" s="90" t="s">
        <v>1084</v>
      </c>
    </row>
    <row r="1168" spans="1:11" ht="28.15" customHeight="1" x14ac:dyDescent="0.25">
      <c r="A1168" s="102">
        <v>3</v>
      </c>
      <c r="B1168" s="162"/>
      <c r="C1168" s="10" t="s">
        <v>1727</v>
      </c>
      <c r="D1168" s="10" t="s">
        <v>1439</v>
      </c>
      <c r="E1168" s="10" t="s">
        <v>23</v>
      </c>
      <c r="F1168" s="17">
        <v>795.62400000000002</v>
      </c>
      <c r="G1168" s="16">
        <v>0</v>
      </c>
      <c r="H1168" s="17">
        <v>795.62400000000002</v>
      </c>
      <c r="I1168" s="18">
        <v>0</v>
      </c>
      <c r="J1168" s="18">
        <v>0</v>
      </c>
      <c r="K1168" s="90" t="s">
        <v>1084</v>
      </c>
    </row>
    <row r="1169" spans="1:11" ht="28.15" customHeight="1" x14ac:dyDescent="0.25">
      <c r="A1169" s="100">
        <v>4</v>
      </c>
      <c r="B1169" s="162"/>
      <c r="C1169" s="10" t="s">
        <v>1728</v>
      </c>
      <c r="D1169" s="10" t="s">
        <v>1595</v>
      </c>
      <c r="E1169" s="10" t="s">
        <v>23</v>
      </c>
      <c r="F1169" s="17">
        <v>6140.23</v>
      </c>
      <c r="G1169" s="16">
        <v>0</v>
      </c>
      <c r="H1169" s="17">
        <v>6140.23</v>
      </c>
      <c r="I1169" s="18">
        <v>0</v>
      </c>
      <c r="J1169" s="18">
        <v>0</v>
      </c>
      <c r="K1169" s="90" t="s">
        <v>1084</v>
      </c>
    </row>
    <row r="1170" spans="1:11" ht="28.15" customHeight="1" x14ac:dyDescent="0.25">
      <c r="A1170" s="102">
        <v>5</v>
      </c>
      <c r="B1170" s="162"/>
      <c r="C1170" s="10" t="s">
        <v>1729</v>
      </c>
      <c r="D1170" s="10" t="s">
        <v>1442</v>
      </c>
      <c r="E1170" s="10" t="s">
        <v>23</v>
      </c>
      <c r="F1170" s="17">
        <v>1151.934</v>
      </c>
      <c r="G1170" s="16">
        <v>0</v>
      </c>
      <c r="H1170" s="17">
        <v>1151.934</v>
      </c>
      <c r="I1170" s="18">
        <v>0</v>
      </c>
      <c r="J1170" s="18">
        <v>0</v>
      </c>
      <c r="K1170" s="90" t="s">
        <v>1084</v>
      </c>
    </row>
    <row r="1171" spans="1:11" ht="28.15" customHeight="1" x14ac:dyDescent="0.25">
      <c r="A1171" s="102">
        <v>6</v>
      </c>
      <c r="B1171" s="162"/>
      <c r="C1171" s="10" t="s">
        <v>1730</v>
      </c>
      <c r="D1171" s="10" t="s">
        <v>1436</v>
      </c>
      <c r="E1171" s="10" t="s">
        <v>23</v>
      </c>
      <c r="F1171" s="17">
        <v>3120.1779999999999</v>
      </c>
      <c r="G1171" s="16">
        <v>0</v>
      </c>
      <c r="H1171" s="17">
        <v>3120.1779999999999</v>
      </c>
      <c r="I1171" s="18">
        <v>0</v>
      </c>
      <c r="J1171" s="18">
        <v>0</v>
      </c>
      <c r="K1171" s="90" t="s">
        <v>1084</v>
      </c>
    </row>
    <row r="1172" spans="1:11" ht="28.15" customHeight="1" x14ac:dyDescent="0.25">
      <c r="A1172" s="100">
        <v>7</v>
      </c>
      <c r="B1172" s="163"/>
      <c r="C1172" s="10" t="s">
        <v>1731</v>
      </c>
      <c r="D1172" s="10" t="s">
        <v>1446</v>
      </c>
      <c r="E1172" s="10" t="s">
        <v>23</v>
      </c>
      <c r="F1172" s="17">
        <v>2604.58</v>
      </c>
      <c r="G1172" s="16">
        <v>0</v>
      </c>
      <c r="H1172" s="17">
        <v>2604.58</v>
      </c>
      <c r="I1172" s="18">
        <v>0</v>
      </c>
      <c r="J1172" s="18">
        <v>0</v>
      </c>
      <c r="K1172" s="90" t="s">
        <v>1084</v>
      </c>
    </row>
    <row r="1173" spans="1:11" ht="33.6" customHeight="1" x14ac:dyDescent="0.25">
      <c r="A1173" s="160" t="s">
        <v>1443</v>
      </c>
      <c r="B1173" s="160"/>
      <c r="C1173" s="160"/>
      <c r="D1173" s="20"/>
      <c r="E1173" s="55"/>
      <c r="F1173" s="96">
        <f>SUM(F1166:F1172)</f>
        <v>20753.96</v>
      </c>
      <c r="G1173" s="96">
        <f>SUM(G1166:G1172)</f>
        <v>2945.76</v>
      </c>
      <c r="H1173" s="96">
        <f>SUM(H1166:H1172)</f>
        <v>17808.199999999997</v>
      </c>
      <c r="I1173" s="97">
        <f>SUM(I1166:I1172)</f>
        <v>0</v>
      </c>
      <c r="J1173" s="18">
        <v>0</v>
      </c>
      <c r="K1173" s="17"/>
    </row>
    <row r="1174" spans="1:11" ht="34.15" customHeight="1" x14ac:dyDescent="0.25">
      <c r="A1174" s="102">
        <v>1</v>
      </c>
      <c r="B1174" s="161" t="s">
        <v>1724</v>
      </c>
      <c r="C1174" s="92" t="s">
        <v>1732</v>
      </c>
      <c r="D1174" s="10" t="s">
        <v>1434</v>
      </c>
      <c r="E1174" s="10" t="s">
        <v>23</v>
      </c>
      <c r="F1174" s="17">
        <v>27326.5</v>
      </c>
      <c r="G1174" s="16">
        <v>0</v>
      </c>
      <c r="H1174" s="18">
        <v>0</v>
      </c>
      <c r="I1174" s="17">
        <v>27326.5</v>
      </c>
      <c r="J1174" s="18">
        <v>0</v>
      </c>
      <c r="K1174" s="112" t="s">
        <v>281</v>
      </c>
    </row>
    <row r="1175" spans="1:11" ht="34.15" customHeight="1" x14ac:dyDescent="0.25">
      <c r="A1175" s="102">
        <v>2</v>
      </c>
      <c r="B1175" s="163"/>
      <c r="C1175" s="92" t="s">
        <v>1733</v>
      </c>
      <c r="D1175" s="10" t="s">
        <v>1542</v>
      </c>
      <c r="E1175" s="10" t="s">
        <v>23</v>
      </c>
      <c r="F1175" s="17">
        <v>5028.1345000000001</v>
      </c>
      <c r="G1175" s="16">
        <v>0</v>
      </c>
      <c r="H1175" s="17">
        <v>5028.1345000000001</v>
      </c>
      <c r="I1175" s="79">
        <v>0</v>
      </c>
      <c r="J1175" s="18">
        <v>0</v>
      </c>
      <c r="K1175" s="111">
        <v>46419</v>
      </c>
    </row>
    <row r="1176" spans="1:11" ht="32.450000000000003" customHeight="1" x14ac:dyDescent="0.25">
      <c r="A1176" s="160" t="s">
        <v>20</v>
      </c>
      <c r="B1176" s="160"/>
      <c r="C1176" s="160"/>
      <c r="D1176" s="110"/>
      <c r="E1176" s="55"/>
      <c r="F1176" s="96">
        <f>SUM(F1174:F1175)</f>
        <v>32354.6345</v>
      </c>
      <c r="G1176" s="16">
        <v>0</v>
      </c>
      <c r="H1176" s="96">
        <f t="shared" ref="H1176:I1176" si="142">SUM(H1174:H1175)</f>
        <v>5028.1345000000001</v>
      </c>
      <c r="I1176" s="96">
        <f t="shared" si="142"/>
        <v>27326.5</v>
      </c>
      <c r="J1176" s="18">
        <v>0</v>
      </c>
      <c r="K1176" s="20"/>
    </row>
    <row r="1177" spans="1:11" ht="75" x14ac:dyDescent="0.25">
      <c r="A1177" s="102">
        <v>1</v>
      </c>
      <c r="B1177" s="2" t="s">
        <v>1724</v>
      </c>
      <c r="C1177" s="92" t="s">
        <v>1734</v>
      </c>
      <c r="D1177" s="10" t="s">
        <v>1542</v>
      </c>
      <c r="E1177" s="10" t="s">
        <v>23</v>
      </c>
      <c r="F1177" s="17">
        <v>5028.1345000000001</v>
      </c>
      <c r="G1177" s="16">
        <v>0</v>
      </c>
      <c r="H1177" s="18">
        <v>0</v>
      </c>
      <c r="I1177" s="17">
        <v>5028.1345000000001</v>
      </c>
      <c r="J1177" s="18">
        <v>0</v>
      </c>
      <c r="K1177" s="112" t="s">
        <v>291</v>
      </c>
    </row>
    <row r="1178" spans="1:11" ht="30.6" customHeight="1" x14ac:dyDescent="0.25">
      <c r="A1178" s="160" t="s">
        <v>21</v>
      </c>
      <c r="B1178" s="160"/>
      <c r="C1178" s="160"/>
      <c r="D1178" s="110"/>
      <c r="E1178" s="55"/>
      <c r="F1178" s="96">
        <f>SUM(F1177)</f>
        <v>5028.1345000000001</v>
      </c>
      <c r="G1178" s="16">
        <v>0</v>
      </c>
      <c r="H1178" s="18">
        <v>0</v>
      </c>
      <c r="I1178" s="96">
        <f t="shared" ref="I1178" si="143">SUM(I1177)</f>
        <v>5028.1345000000001</v>
      </c>
      <c r="J1178" s="18">
        <v>0</v>
      </c>
      <c r="K1178" s="20"/>
    </row>
    <row r="1179" spans="1:11" ht="33" customHeight="1" x14ac:dyDescent="0.25">
      <c r="A1179" s="102">
        <v>1</v>
      </c>
      <c r="B1179" s="161" t="s">
        <v>1735</v>
      </c>
      <c r="C1179" s="92" t="s">
        <v>1736</v>
      </c>
      <c r="D1179" s="10" t="s">
        <v>1737</v>
      </c>
      <c r="E1179" s="10" t="s">
        <v>23</v>
      </c>
      <c r="F1179" s="17">
        <v>2999.1</v>
      </c>
      <c r="G1179" s="16">
        <v>0</v>
      </c>
      <c r="H1179" s="17">
        <v>2999.1</v>
      </c>
      <c r="I1179" s="18">
        <v>0</v>
      </c>
      <c r="J1179" s="18">
        <v>0</v>
      </c>
      <c r="K1179" s="112" t="s">
        <v>418</v>
      </c>
    </row>
    <row r="1180" spans="1:11" ht="33" customHeight="1" x14ac:dyDescent="0.25">
      <c r="A1180" s="102">
        <v>2</v>
      </c>
      <c r="B1180" s="162"/>
      <c r="C1180" s="92" t="s">
        <v>1738</v>
      </c>
      <c r="D1180" s="10" t="s">
        <v>1436</v>
      </c>
      <c r="E1180" s="10" t="s">
        <v>23</v>
      </c>
      <c r="F1180" s="17">
        <v>1353.94</v>
      </c>
      <c r="G1180" s="16">
        <v>0</v>
      </c>
      <c r="H1180" s="17">
        <v>1353.94</v>
      </c>
      <c r="I1180" s="18">
        <v>0</v>
      </c>
      <c r="J1180" s="18">
        <v>0</v>
      </c>
      <c r="K1180" s="112" t="s">
        <v>418</v>
      </c>
    </row>
    <row r="1181" spans="1:11" ht="33" customHeight="1" x14ac:dyDescent="0.25">
      <c r="A1181" s="102">
        <v>3</v>
      </c>
      <c r="B1181" s="162"/>
      <c r="C1181" s="92" t="s">
        <v>1739</v>
      </c>
      <c r="D1181" s="10" t="s">
        <v>1434</v>
      </c>
      <c r="E1181" s="10" t="s">
        <v>23</v>
      </c>
      <c r="F1181" s="17">
        <v>1940</v>
      </c>
      <c r="G1181" s="16">
        <v>0</v>
      </c>
      <c r="H1181" s="17">
        <v>1940</v>
      </c>
      <c r="I1181" s="18">
        <v>0</v>
      </c>
      <c r="J1181" s="18">
        <v>0</v>
      </c>
      <c r="K1181" s="112" t="s">
        <v>418</v>
      </c>
    </row>
    <row r="1182" spans="1:11" ht="33" customHeight="1" x14ac:dyDescent="0.25">
      <c r="A1182" s="102">
        <v>4</v>
      </c>
      <c r="B1182" s="162"/>
      <c r="C1182" s="92" t="s">
        <v>1740</v>
      </c>
      <c r="D1182" s="10" t="s">
        <v>1595</v>
      </c>
      <c r="E1182" s="10" t="s">
        <v>23</v>
      </c>
      <c r="F1182" s="17">
        <v>4879.7915999999996</v>
      </c>
      <c r="G1182" s="16">
        <v>0</v>
      </c>
      <c r="H1182" s="17">
        <v>4879.7915999999996</v>
      </c>
      <c r="I1182" s="18">
        <v>0</v>
      </c>
      <c r="J1182" s="18">
        <v>0</v>
      </c>
      <c r="K1182" s="112" t="s">
        <v>418</v>
      </c>
    </row>
    <row r="1183" spans="1:11" ht="33" customHeight="1" x14ac:dyDescent="0.25">
      <c r="A1183" s="102">
        <v>5</v>
      </c>
      <c r="B1183" s="162"/>
      <c r="C1183" s="92" t="s">
        <v>1741</v>
      </c>
      <c r="D1183" s="10" t="s">
        <v>1442</v>
      </c>
      <c r="E1183" s="10" t="s">
        <v>23</v>
      </c>
      <c r="F1183" s="17">
        <v>782.65</v>
      </c>
      <c r="G1183" s="16">
        <v>0</v>
      </c>
      <c r="H1183" s="17">
        <v>782.65</v>
      </c>
      <c r="I1183" s="18">
        <v>0</v>
      </c>
      <c r="J1183" s="18">
        <v>0</v>
      </c>
      <c r="K1183" s="112" t="s">
        <v>418</v>
      </c>
    </row>
    <row r="1184" spans="1:11" ht="33" customHeight="1" x14ac:dyDescent="0.25">
      <c r="A1184" s="102">
        <v>6</v>
      </c>
      <c r="B1184" s="162"/>
      <c r="C1184" s="92" t="s">
        <v>1742</v>
      </c>
      <c r="D1184" s="10" t="s">
        <v>1446</v>
      </c>
      <c r="E1184" s="10" t="s">
        <v>23</v>
      </c>
      <c r="F1184" s="17">
        <v>1616.7</v>
      </c>
      <c r="G1184" s="16">
        <v>0</v>
      </c>
      <c r="H1184" s="17">
        <v>1616.7</v>
      </c>
      <c r="I1184" s="18">
        <v>0</v>
      </c>
      <c r="J1184" s="18">
        <v>0</v>
      </c>
      <c r="K1184" s="112" t="s">
        <v>418</v>
      </c>
    </row>
    <row r="1185" spans="1:11" ht="33" customHeight="1" x14ac:dyDescent="0.25">
      <c r="A1185" s="102">
        <v>7</v>
      </c>
      <c r="B1185" s="162"/>
      <c r="C1185" s="92" t="s">
        <v>1743</v>
      </c>
      <c r="D1185" s="10" t="s">
        <v>132</v>
      </c>
      <c r="E1185" s="10" t="s">
        <v>23</v>
      </c>
      <c r="F1185" s="17">
        <v>8386.56</v>
      </c>
      <c r="G1185" s="17">
        <v>627.76</v>
      </c>
      <c r="H1185" s="17">
        <v>4905.6000000000004</v>
      </c>
      <c r="I1185" s="17">
        <v>2853.2</v>
      </c>
      <c r="J1185" s="18">
        <v>0</v>
      </c>
      <c r="K1185" s="112" t="s">
        <v>418</v>
      </c>
    </row>
    <row r="1186" spans="1:11" ht="33" customHeight="1" x14ac:dyDescent="0.25">
      <c r="A1186" s="102">
        <v>8</v>
      </c>
      <c r="B1186" s="162"/>
      <c r="C1186" s="92" t="s">
        <v>1744</v>
      </c>
      <c r="D1186" s="10" t="s">
        <v>1745</v>
      </c>
      <c r="E1186" s="10" t="s">
        <v>23</v>
      </c>
      <c r="F1186" s="17">
        <v>771.61</v>
      </c>
      <c r="G1186" s="16">
        <v>0</v>
      </c>
      <c r="H1186" s="17">
        <v>771.61</v>
      </c>
      <c r="I1186" s="18">
        <v>0</v>
      </c>
      <c r="J1186" s="18">
        <v>0</v>
      </c>
      <c r="K1186" s="112" t="s">
        <v>54</v>
      </c>
    </row>
    <row r="1187" spans="1:11" ht="33" customHeight="1" x14ac:dyDescent="0.25">
      <c r="A1187" s="102">
        <v>9</v>
      </c>
      <c r="B1187" s="162"/>
      <c r="C1187" s="92" t="s">
        <v>1746</v>
      </c>
      <c r="D1187" s="10" t="s">
        <v>1299</v>
      </c>
      <c r="E1187" s="10" t="s">
        <v>23</v>
      </c>
      <c r="F1187" s="17">
        <v>99.887039999999999</v>
      </c>
      <c r="G1187" s="16">
        <v>0</v>
      </c>
      <c r="H1187" s="17">
        <v>99.887039999999999</v>
      </c>
      <c r="I1187" s="18">
        <v>0</v>
      </c>
      <c r="J1187" s="18">
        <v>0</v>
      </c>
      <c r="K1187" s="112" t="s">
        <v>54</v>
      </c>
    </row>
    <row r="1188" spans="1:11" ht="33" customHeight="1" x14ac:dyDescent="0.25">
      <c r="A1188" s="102">
        <v>10</v>
      </c>
      <c r="B1188" s="163"/>
      <c r="C1188" s="92" t="s">
        <v>1747</v>
      </c>
      <c r="D1188" s="10" t="s">
        <v>1439</v>
      </c>
      <c r="E1188" s="10" t="s">
        <v>23</v>
      </c>
      <c r="F1188" s="17">
        <v>417.24</v>
      </c>
      <c r="G1188" s="16">
        <v>0</v>
      </c>
      <c r="H1188" s="17">
        <v>417.24</v>
      </c>
      <c r="I1188" s="18">
        <v>0</v>
      </c>
      <c r="J1188" s="18">
        <v>0</v>
      </c>
      <c r="K1188" s="112" t="s">
        <v>54</v>
      </c>
    </row>
    <row r="1189" spans="1:11" ht="35.450000000000003" customHeight="1" x14ac:dyDescent="0.25">
      <c r="A1189" s="160" t="s">
        <v>1443</v>
      </c>
      <c r="B1189" s="160"/>
      <c r="C1189" s="160"/>
      <c r="D1189" s="20"/>
      <c r="E1189" s="55"/>
      <c r="F1189" s="96">
        <f>SUM(F1179:F1188)</f>
        <v>23247.478640000005</v>
      </c>
      <c r="G1189" s="96">
        <f t="shared" ref="G1189:I1189" si="144">SUM(G1179:G1188)</f>
        <v>627.76</v>
      </c>
      <c r="H1189" s="96">
        <f t="shared" si="144"/>
        <v>19766.518640000006</v>
      </c>
      <c r="I1189" s="96">
        <f t="shared" si="144"/>
        <v>2853.2</v>
      </c>
      <c r="J1189" s="18">
        <v>0</v>
      </c>
      <c r="K1189" s="96"/>
    </row>
    <row r="1190" spans="1:11" ht="29.45" customHeight="1" x14ac:dyDescent="0.25">
      <c r="A1190" s="2">
        <v>1</v>
      </c>
      <c r="B1190" s="161" t="s">
        <v>1735</v>
      </c>
      <c r="C1190" s="92" t="s">
        <v>1748</v>
      </c>
      <c r="D1190" s="10" t="s">
        <v>1442</v>
      </c>
      <c r="E1190" s="10" t="s">
        <v>23</v>
      </c>
      <c r="F1190" s="17">
        <v>813.1</v>
      </c>
      <c r="G1190" s="16">
        <v>0</v>
      </c>
      <c r="H1190" s="18">
        <v>0</v>
      </c>
      <c r="I1190" s="17">
        <v>813.1</v>
      </c>
      <c r="J1190" s="18">
        <v>0</v>
      </c>
      <c r="K1190" s="112" t="s">
        <v>438</v>
      </c>
    </row>
    <row r="1191" spans="1:11" ht="29.45" customHeight="1" x14ac:dyDescent="0.25">
      <c r="A1191" s="2">
        <v>2</v>
      </c>
      <c r="B1191" s="162"/>
      <c r="C1191" s="92" t="s">
        <v>1749</v>
      </c>
      <c r="D1191" s="10" t="s">
        <v>1436</v>
      </c>
      <c r="E1191" s="10" t="s">
        <v>23</v>
      </c>
      <c r="F1191" s="17">
        <v>1353.94</v>
      </c>
      <c r="G1191" s="16">
        <v>0</v>
      </c>
      <c r="H1191" s="18">
        <v>0</v>
      </c>
      <c r="I1191" s="17">
        <v>1353.94</v>
      </c>
      <c r="J1191" s="18">
        <v>0</v>
      </c>
      <c r="K1191" s="112" t="s">
        <v>438</v>
      </c>
    </row>
    <row r="1192" spans="1:11" ht="29.45" customHeight="1" x14ac:dyDescent="0.25">
      <c r="A1192" s="2">
        <v>3</v>
      </c>
      <c r="B1192" s="162"/>
      <c r="C1192" s="92" t="s">
        <v>1750</v>
      </c>
      <c r="D1192" s="10" t="s">
        <v>1696</v>
      </c>
      <c r="E1192" s="10" t="s">
        <v>23</v>
      </c>
      <c r="F1192" s="17">
        <v>4352.5837199999996</v>
      </c>
      <c r="G1192" s="16">
        <v>0</v>
      </c>
      <c r="H1192" s="18">
        <v>0</v>
      </c>
      <c r="I1192" s="17">
        <v>4352.5837199999996</v>
      </c>
      <c r="J1192" s="18">
        <v>0</v>
      </c>
      <c r="K1192" s="112" t="s">
        <v>438</v>
      </c>
    </row>
    <row r="1193" spans="1:11" ht="29.45" customHeight="1" x14ac:dyDescent="0.25">
      <c r="A1193" s="2">
        <v>4</v>
      </c>
      <c r="B1193" s="163"/>
      <c r="C1193" s="92" t="s">
        <v>1751</v>
      </c>
      <c r="D1193" s="10" t="s">
        <v>1696</v>
      </c>
      <c r="E1193" s="10" t="s">
        <v>23</v>
      </c>
      <c r="F1193" s="17">
        <v>4352.5837199999996</v>
      </c>
      <c r="G1193" s="16">
        <v>0</v>
      </c>
      <c r="H1193" s="18">
        <v>0</v>
      </c>
      <c r="I1193" s="17">
        <v>4352.5837199999996</v>
      </c>
      <c r="J1193" s="18">
        <v>0</v>
      </c>
      <c r="K1193" s="112" t="s">
        <v>438</v>
      </c>
    </row>
    <row r="1194" spans="1:11" ht="31.15" customHeight="1" x14ac:dyDescent="0.25">
      <c r="A1194" s="160" t="s">
        <v>21</v>
      </c>
      <c r="B1194" s="160"/>
      <c r="C1194" s="160"/>
      <c r="D1194" s="110"/>
      <c r="E1194" s="55"/>
      <c r="F1194" s="96">
        <f>SUM(F1190:F1193)</f>
        <v>10872.207439999998</v>
      </c>
      <c r="G1194" s="16">
        <v>0</v>
      </c>
      <c r="H1194" s="18">
        <v>0</v>
      </c>
      <c r="I1194" s="96">
        <f t="shared" ref="I1194" si="145">SUM(I1190:I1193)</f>
        <v>10872.207439999998</v>
      </c>
      <c r="J1194" s="18">
        <v>0</v>
      </c>
      <c r="K1194" s="20"/>
    </row>
    <row r="1195" spans="1:11" ht="29.45" customHeight="1" x14ac:dyDescent="0.25">
      <c r="A1195" s="2">
        <v>1</v>
      </c>
      <c r="B1195" s="161" t="s">
        <v>1752</v>
      </c>
      <c r="C1195" s="109" t="s">
        <v>1753</v>
      </c>
      <c r="D1195" s="10" t="s">
        <v>1436</v>
      </c>
      <c r="E1195" s="10" t="s">
        <v>23</v>
      </c>
      <c r="F1195" s="107">
        <v>1337.963</v>
      </c>
      <c r="G1195" s="16">
        <v>0</v>
      </c>
      <c r="H1195" s="107">
        <v>1337.963</v>
      </c>
      <c r="I1195" s="108">
        <v>0</v>
      </c>
      <c r="J1195" s="18">
        <v>0</v>
      </c>
      <c r="K1195" s="91" t="s">
        <v>54</v>
      </c>
    </row>
    <row r="1196" spans="1:11" ht="29.45" customHeight="1" x14ac:dyDescent="0.25">
      <c r="A1196" s="2">
        <v>2</v>
      </c>
      <c r="B1196" s="162"/>
      <c r="C1196" s="109" t="s">
        <v>1754</v>
      </c>
      <c r="D1196" s="10" t="s">
        <v>132</v>
      </c>
      <c r="E1196" s="10" t="s">
        <v>23</v>
      </c>
      <c r="F1196" s="107">
        <v>3061.4366400000004</v>
      </c>
      <c r="G1196" s="16">
        <v>0</v>
      </c>
      <c r="H1196" s="107">
        <v>1530.7183200000002</v>
      </c>
      <c r="I1196" s="107">
        <v>1530.7183200000002</v>
      </c>
      <c r="J1196" s="18">
        <v>0</v>
      </c>
      <c r="K1196" s="91" t="s">
        <v>54</v>
      </c>
    </row>
    <row r="1197" spans="1:11" ht="29.45" customHeight="1" x14ac:dyDescent="0.25">
      <c r="A1197" s="2">
        <v>3</v>
      </c>
      <c r="B1197" s="162"/>
      <c r="C1197" s="109" t="s">
        <v>1755</v>
      </c>
      <c r="D1197" s="10" t="s">
        <v>1595</v>
      </c>
      <c r="E1197" s="10" t="s">
        <v>23</v>
      </c>
      <c r="F1197" s="107">
        <v>4485</v>
      </c>
      <c r="G1197" s="16">
        <v>0</v>
      </c>
      <c r="H1197" s="107">
        <v>4485</v>
      </c>
      <c r="I1197" s="108">
        <v>0</v>
      </c>
      <c r="J1197" s="18">
        <v>0</v>
      </c>
      <c r="K1197" s="91" t="s">
        <v>54</v>
      </c>
    </row>
    <row r="1198" spans="1:11" ht="29.45" customHeight="1" x14ac:dyDescent="0.25">
      <c r="A1198" s="2">
        <v>4</v>
      </c>
      <c r="B1198" s="162"/>
      <c r="C1198" s="109" t="s">
        <v>1756</v>
      </c>
      <c r="D1198" s="10" t="s">
        <v>1696</v>
      </c>
      <c r="E1198" s="10" t="s">
        <v>23</v>
      </c>
      <c r="F1198" s="107">
        <v>2353.9589999999998</v>
      </c>
      <c r="G1198" s="16">
        <v>0</v>
      </c>
      <c r="H1198" s="107">
        <v>2353.9589999999998</v>
      </c>
      <c r="I1198" s="108">
        <v>0</v>
      </c>
      <c r="J1198" s="18">
        <v>0</v>
      </c>
      <c r="K1198" s="91" t="s">
        <v>54</v>
      </c>
    </row>
    <row r="1199" spans="1:11" ht="25.9" customHeight="1" x14ac:dyDescent="0.25">
      <c r="A1199" s="2">
        <v>5</v>
      </c>
      <c r="B1199" s="163"/>
      <c r="C1199" s="109" t="s">
        <v>1757</v>
      </c>
      <c r="D1199" s="10" t="s">
        <v>1595</v>
      </c>
      <c r="E1199" s="10" t="s">
        <v>23</v>
      </c>
      <c r="F1199" s="107">
        <v>2509.0990000000002</v>
      </c>
      <c r="G1199" s="16">
        <v>0</v>
      </c>
      <c r="H1199" s="107">
        <v>2509.0990000000002</v>
      </c>
      <c r="I1199" s="108">
        <v>0</v>
      </c>
      <c r="J1199" s="18">
        <v>0</v>
      </c>
      <c r="K1199" s="91" t="s">
        <v>54</v>
      </c>
    </row>
    <row r="1200" spans="1:11" ht="28.15" customHeight="1" x14ac:dyDescent="0.25">
      <c r="A1200" s="160" t="s">
        <v>1443</v>
      </c>
      <c r="B1200" s="160"/>
      <c r="C1200" s="160"/>
      <c r="D1200" s="110"/>
      <c r="E1200" s="55"/>
      <c r="F1200" s="96">
        <f>SUM(F1195:F1199)</f>
        <v>13747.457639999999</v>
      </c>
      <c r="G1200" s="97">
        <f>SUM(G1195:G1199)</f>
        <v>0</v>
      </c>
      <c r="H1200" s="96">
        <f>SUM(H1195:H1199)</f>
        <v>12216.739319999999</v>
      </c>
      <c r="I1200" s="96">
        <f>SUM(I1195:I1199)</f>
        <v>1530.7183200000002</v>
      </c>
      <c r="J1200" s="18">
        <v>0</v>
      </c>
      <c r="K1200" s="20"/>
    </row>
    <row r="1201" spans="1:11" ht="79.5" customHeight="1" x14ac:dyDescent="0.25">
      <c r="A1201" s="2">
        <v>1</v>
      </c>
      <c r="B1201" s="2" t="s">
        <v>1752</v>
      </c>
      <c r="C1201" s="92" t="s">
        <v>1758</v>
      </c>
      <c r="D1201" s="10" t="s">
        <v>1759</v>
      </c>
      <c r="E1201" s="10" t="s">
        <v>23</v>
      </c>
      <c r="F1201" s="17">
        <v>3000</v>
      </c>
      <c r="G1201" s="16">
        <v>0</v>
      </c>
      <c r="H1201" s="18">
        <v>0</v>
      </c>
      <c r="I1201" s="17">
        <v>3000</v>
      </c>
      <c r="J1201" s="18">
        <v>0</v>
      </c>
      <c r="K1201" s="78">
        <v>46784</v>
      </c>
    </row>
    <row r="1202" spans="1:11" ht="27" customHeight="1" x14ac:dyDescent="0.25">
      <c r="A1202" s="160" t="s">
        <v>21</v>
      </c>
      <c r="B1202" s="160"/>
      <c r="C1202" s="160"/>
      <c r="D1202" s="110"/>
      <c r="E1202" s="55"/>
      <c r="F1202" s="96">
        <f>SUM(F1201)</f>
        <v>3000</v>
      </c>
      <c r="G1202" s="16">
        <v>0</v>
      </c>
      <c r="H1202" s="18">
        <v>0</v>
      </c>
      <c r="I1202" s="96">
        <f t="shared" ref="I1202" si="146">SUM(I1201)</f>
        <v>3000</v>
      </c>
      <c r="J1202" s="18">
        <v>0</v>
      </c>
      <c r="K1202" s="20"/>
    </row>
    <row r="1203" spans="1:11" ht="29.45" customHeight="1" x14ac:dyDescent="0.25">
      <c r="A1203" s="2">
        <v>1</v>
      </c>
      <c r="B1203" s="161" t="s">
        <v>1760</v>
      </c>
      <c r="C1203" s="92" t="s">
        <v>1761</v>
      </c>
      <c r="D1203" s="10" t="s">
        <v>1595</v>
      </c>
      <c r="E1203" s="10" t="s">
        <v>23</v>
      </c>
      <c r="F1203" s="17">
        <v>2489.26118</v>
      </c>
      <c r="G1203" s="16">
        <v>0</v>
      </c>
      <c r="H1203" s="17">
        <v>2489.26118</v>
      </c>
      <c r="I1203" s="18">
        <v>0</v>
      </c>
      <c r="J1203" s="18">
        <v>0</v>
      </c>
      <c r="K1203" s="90" t="s">
        <v>1084</v>
      </c>
    </row>
    <row r="1204" spans="1:11" ht="29.45" customHeight="1" x14ac:dyDescent="0.25">
      <c r="A1204" s="2">
        <v>2</v>
      </c>
      <c r="B1204" s="162"/>
      <c r="C1204" s="92" t="s">
        <v>1762</v>
      </c>
      <c r="D1204" s="10" t="s">
        <v>1442</v>
      </c>
      <c r="E1204" s="10" t="s">
        <v>23</v>
      </c>
      <c r="F1204" s="17">
        <v>634.99444999999992</v>
      </c>
      <c r="G1204" s="16">
        <v>0</v>
      </c>
      <c r="H1204" s="17">
        <v>634.99444999999992</v>
      </c>
      <c r="I1204" s="18">
        <v>0</v>
      </c>
      <c r="J1204" s="18">
        <v>0</v>
      </c>
      <c r="K1204" s="90" t="s">
        <v>1084</v>
      </c>
    </row>
    <row r="1205" spans="1:11" ht="29.45" customHeight="1" x14ac:dyDescent="0.25">
      <c r="A1205" s="2">
        <v>3</v>
      </c>
      <c r="B1205" s="162"/>
      <c r="C1205" s="92" t="s">
        <v>1763</v>
      </c>
      <c r="D1205" s="10" t="s">
        <v>1486</v>
      </c>
      <c r="E1205" s="10" t="s">
        <v>23</v>
      </c>
      <c r="F1205" s="17">
        <v>2578.5504500000002</v>
      </c>
      <c r="G1205" s="16">
        <v>0</v>
      </c>
      <c r="H1205" s="17">
        <v>2578.5504500000002</v>
      </c>
      <c r="I1205" s="18">
        <v>0</v>
      </c>
      <c r="J1205" s="18">
        <v>0</v>
      </c>
      <c r="K1205" s="90" t="s">
        <v>1084</v>
      </c>
    </row>
    <row r="1206" spans="1:11" ht="29.45" customHeight="1" x14ac:dyDescent="0.25">
      <c r="A1206" s="2">
        <v>4</v>
      </c>
      <c r="B1206" s="162"/>
      <c r="C1206" s="92" t="s">
        <v>1764</v>
      </c>
      <c r="D1206" s="10" t="s">
        <v>1436</v>
      </c>
      <c r="E1206" s="10" t="s">
        <v>23</v>
      </c>
      <c r="F1206" s="17">
        <v>695.26499999999999</v>
      </c>
      <c r="G1206" s="16">
        <v>0</v>
      </c>
      <c r="H1206" s="17">
        <v>695.26499999999999</v>
      </c>
      <c r="I1206" s="18">
        <v>0</v>
      </c>
      <c r="J1206" s="18">
        <v>0</v>
      </c>
      <c r="K1206" s="90" t="s">
        <v>1084</v>
      </c>
    </row>
    <row r="1207" spans="1:11" ht="29.45" customHeight="1" x14ac:dyDescent="0.25">
      <c r="A1207" s="2">
        <v>5</v>
      </c>
      <c r="B1207" s="162"/>
      <c r="C1207" s="92" t="s">
        <v>1765</v>
      </c>
      <c r="D1207" s="10" t="s">
        <v>1246</v>
      </c>
      <c r="E1207" s="10" t="s">
        <v>23</v>
      </c>
      <c r="F1207" s="17">
        <v>77.20008</v>
      </c>
      <c r="G1207" s="17">
        <v>6.4333400000000003</v>
      </c>
      <c r="H1207" s="17">
        <v>70.766739999999999</v>
      </c>
      <c r="I1207" s="18">
        <v>0</v>
      </c>
      <c r="J1207" s="18">
        <v>0</v>
      </c>
      <c r="K1207" s="90" t="s">
        <v>1084</v>
      </c>
    </row>
    <row r="1208" spans="1:11" ht="29.45" customHeight="1" x14ac:dyDescent="0.25">
      <c r="A1208" s="2">
        <v>6</v>
      </c>
      <c r="B1208" s="163"/>
      <c r="C1208" s="92" t="s">
        <v>1766</v>
      </c>
      <c r="D1208" s="10" t="s">
        <v>132</v>
      </c>
      <c r="E1208" s="10" t="s">
        <v>23</v>
      </c>
      <c r="F1208" s="17">
        <v>3294</v>
      </c>
      <c r="G1208" s="16">
        <v>0</v>
      </c>
      <c r="H1208" s="17">
        <v>1462.25</v>
      </c>
      <c r="I1208" s="17">
        <v>1831.75</v>
      </c>
      <c r="J1208" s="18">
        <v>0</v>
      </c>
      <c r="K1208" s="90" t="s">
        <v>1084</v>
      </c>
    </row>
    <row r="1209" spans="1:11" ht="28.9" customHeight="1" x14ac:dyDescent="0.25">
      <c r="A1209" s="160" t="s">
        <v>1443</v>
      </c>
      <c r="B1209" s="160"/>
      <c r="C1209" s="160"/>
      <c r="D1209" s="20"/>
      <c r="E1209" s="55"/>
      <c r="F1209" s="96">
        <f>SUM(F1203:F1208)</f>
        <v>9769.2711600000002</v>
      </c>
      <c r="G1209" s="96">
        <f>SUM(G1203:G1208)</f>
        <v>6.4333400000000003</v>
      </c>
      <c r="H1209" s="96">
        <f>SUM(H1203:H1208)</f>
        <v>7931.0878200000006</v>
      </c>
      <c r="I1209" s="96">
        <f>SUM(I1203:I1208)</f>
        <v>1831.75</v>
      </c>
      <c r="J1209" s="18">
        <v>0</v>
      </c>
      <c r="K1209" s="96"/>
    </row>
    <row r="1210" spans="1:11" ht="29.45" customHeight="1" x14ac:dyDescent="0.25">
      <c r="A1210" s="2">
        <v>1</v>
      </c>
      <c r="B1210" s="161" t="s">
        <v>1760</v>
      </c>
      <c r="C1210" s="92" t="s">
        <v>1767</v>
      </c>
      <c r="D1210" s="10" t="s">
        <v>1436</v>
      </c>
      <c r="E1210" s="10" t="s">
        <v>23</v>
      </c>
      <c r="F1210" s="17">
        <v>695.26499999999999</v>
      </c>
      <c r="G1210" s="16">
        <v>0</v>
      </c>
      <c r="H1210" s="18">
        <v>0</v>
      </c>
      <c r="I1210" s="17">
        <v>695.26499999999999</v>
      </c>
      <c r="J1210" s="18">
        <v>0</v>
      </c>
      <c r="K1210" s="90" t="s">
        <v>1084</v>
      </c>
    </row>
    <row r="1211" spans="1:11" ht="29.45" customHeight="1" x14ac:dyDescent="0.25">
      <c r="A1211" s="2">
        <v>2</v>
      </c>
      <c r="B1211" s="162"/>
      <c r="C1211" s="92" t="s">
        <v>1768</v>
      </c>
      <c r="D1211" s="10" t="s">
        <v>1696</v>
      </c>
      <c r="E1211" s="10" t="s">
        <v>23</v>
      </c>
      <c r="F1211" s="17">
        <v>3208.6750000000002</v>
      </c>
      <c r="G1211" s="16">
        <v>0</v>
      </c>
      <c r="H1211" s="18">
        <v>0</v>
      </c>
      <c r="I1211" s="17">
        <v>3208.6750000000002</v>
      </c>
      <c r="J1211" s="18">
        <v>0</v>
      </c>
      <c r="K1211" s="90" t="s">
        <v>1084</v>
      </c>
    </row>
    <row r="1212" spans="1:11" ht="29.45" customHeight="1" x14ac:dyDescent="0.25">
      <c r="A1212" s="2">
        <v>3</v>
      </c>
      <c r="B1212" s="162"/>
      <c r="C1212" s="92" t="s">
        <v>1769</v>
      </c>
      <c r="D1212" s="10" t="s">
        <v>1442</v>
      </c>
      <c r="E1212" s="10" t="s">
        <v>23</v>
      </c>
      <c r="F1212" s="17">
        <v>634.99444999999992</v>
      </c>
      <c r="G1212" s="16">
        <v>0</v>
      </c>
      <c r="H1212" s="18">
        <v>0</v>
      </c>
      <c r="I1212" s="17">
        <v>634.99444999999992</v>
      </c>
      <c r="J1212" s="18">
        <v>0</v>
      </c>
      <c r="K1212" s="90" t="s">
        <v>1084</v>
      </c>
    </row>
    <row r="1213" spans="1:11" ht="29.45" customHeight="1" x14ac:dyDescent="0.25">
      <c r="A1213" s="2">
        <v>4</v>
      </c>
      <c r="B1213" s="162"/>
      <c r="C1213" s="92" t="s">
        <v>1770</v>
      </c>
      <c r="D1213" s="10" t="s">
        <v>1461</v>
      </c>
      <c r="E1213" s="10" t="s">
        <v>23</v>
      </c>
      <c r="F1213" s="17">
        <v>1828.2161799999999</v>
      </c>
      <c r="G1213" s="16">
        <v>0</v>
      </c>
      <c r="H1213" s="18">
        <v>0</v>
      </c>
      <c r="I1213" s="17">
        <v>1828.2161799999999</v>
      </c>
      <c r="J1213" s="18">
        <v>0</v>
      </c>
      <c r="K1213" s="90" t="s">
        <v>1084</v>
      </c>
    </row>
    <row r="1214" spans="1:11" ht="29.45" customHeight="1" x14ac:dyDescent="0.25">
      <c r="A1214" s="2">
        <v>5</v>
      </c>
      <c r="B1214" s="163"/>
      <c r="C1214" s="92" t="s">
        <v>1771</v>
      </c>
      <c r="D1214" s="10" t="s">
        <v>1595</v>
      </c>
      <c r="E1214" s="10" t="s">
        <v>23</v>
      </c>
      <c r="F1214" s="17">
        <v>2489.26118</v>
      </c>
      <c r="G1214" s="16">
        <v>0</v>
      </c>
      <c r="H1214" s="18">
        <v>0</v>
      </c>
      <c r="I1214" s="17">
        <v>2489.26118</v>
      </c>
      <c r="J1214" s="18">
        <v>0</v>
      </c>
      <c r="K1214" s="90" t="s">
        <v>1084</v>
      </c>
    </row>
    <row r="1215" spans="1:11" ht="37.15" customHeight="1" x14ac:dyDescent="0.25">
      <c r="A1215" s="160" t="s">
        <v>20</v>
      </c>
      <c r="B1215" s="160"/>
      <c r="C1215" s="160"/>
      <c r="D1215" s="110"/>
      <c r="E1215" s="55"/>
      <c r="F1215" s="96">
        <f>SUM(F1210:F1214)</f>
        <v>8856.4118099999996</v>
      </c>
      <c r="G1215" s="16">
        <v>0</v>
      </c>
      <c r="H1215" s="18">
        <v>0</v>
      </c>
      <c r="I1215" s="96">
        <f t="shared" ref="I1215" si="147">SUM(I1210:I1214)</f>
        <v>8856.4118099999996</v>
      </c>
      <c r="J1215" s="18">
        <v>0</v>
      </c>
      <c r="K1215" s="20"/>
    </row>
    <row r="1216" spans="1:11" ht="27.6" customHeight="1" x14ac:dyDescent="0.25">
      <c r="A1216" s="2">
        <v>1</v>
      </c>
      <c r="B1216" s="161" t="s">
        <v>1772</v>
      </c>
      <c r="C1216" s="109" t="s">
        <v>1773</v>
      </c>
      <c r="D1216" s="10" t="s">
        <v>1554</v>
      </c>
      <c r="E1216" s="2" t="s">
        <v>940</v>
      </c>
      <c r="F1216" s="107">
        <v>1951.0835099999999</v>
      </c>
      <c r="G1216" s="16">
        <v>0</v>
      </c>
      <c r="H1216" s="107">
        <v>1951.0835099999999</v>
      </c>
      <c r="I1216" s="108">
        <v>0</v>
      </c>
      <c r="J1216" s="18">
        <v>0</v>
      </c>
      <c r="K1216" s="90" t="s">
        <v>1084</v>
      </c>
    </row>
    <row r="1217" spans="1:11" ht="27.6" customHeight="1" x14ac:dyDescent="0.25">
      <c r="A1217" s="2">
        <v>2</v>
      </c>
      <c r="B1217" s="162"/>
      <c r="C1217" s="109" t="s">
        <v>1774</v>
      </c>
      <c r="D1217" s="10" t="s">
        <v>1775</v>
      </c>
      <c r="E1217" s="2" t="s">
        <v>940</v>
      </c>
      <c r="F1217" s="107">
        <v>3647.0784900000003</v>
      </c>
      <c r="G1217" s="16">
        <v>0</v>
      </c>
      <c r="H1217" s="107">
        <v>3647.0784900000003</v>
      </c>
      <c r="I1217" s="108">
        <v>0</v>
      </c>
      <c r="J1217" s="18">
        <v>0</v>
      </c>
      <c r="K1217" s="90" t="s">
        <v>1084</v>
      </c>
    </row>
    <row r="1218" spans="1:11" ht="27.6" customHeight="1" x14ac:dyDescent="0.25">
      <c r="A1218" s="2">
        <v>3</v>
      </c>
      <c r="B1218" s="162"/>
      <c r="C1218" s="109" t="s">
        <v>1776</v>
      </c>
      <c r="D1218" s="10" t="s">
        <v>1442</v>
      </c>
      <c r="E1218" s="10" t="s">
        <v>23</v>
      </c>
      <c r="F1218" s="107">
        <v>887.56</v>
      </c>
      <c r="G1218" s="16">
        <v>0</v>
      </c>
      <c r="H1218" s="107">
        <v>887.56</v>
      </c>
      <c r="I1218" s="108">
        <v>0</v>
      </c>
      <c r="J1218" s="18">
        <v>0</v>
      </c>
      <c r="K1218" s="90" t="s">
        <v>1084</v>
      </c>
    </row>
    <row r="1219" spans="1:11" ht="27.6" customHeight="1" x14ac:dyDescent="0.25">
      <c r="A1219" s="2">
        <v>4</v>
      </c>
      <c r="B1219" s="162"/>
      <c r="C1219" s="109" t="s">
        <v>1777</v>
      </c>
      <c r="D1219" s="10" t="s">
        <v>1436</v>
      </c>
      <c r="E1219" s="10" t="s">
        <v>23</v>
      </c>
      <c r="F1219" s="107">
        <v>1732.703</v>
      </c>
      <c r="G1219" s="16">
        <v>0</v>
      </c>
      <c r="H1219" s="107">
        <v>1732.703</v>
      </c>
      <c r="I1219" s="108">
        <v>0</v>
      </c>
      <c r="J1219" s="18">
        <v>0</v>
      </c>
      <c r="K1219" s="90" t="s">
        <v>1084</v>
      </c>
    </row>
    <row r="1220" spans="1:11" ht="27.6" customHeight="1" x14ac:dyDescent="0.25">
      <c r="A1220" s="2">
        <v>5</v>
      </c>
      <c r="B1220" s="162"/>
      <c r="C1220" s="109" t="s">
        <v>1778</v>
      </c>
      <c r="D1220" s="10" t="s">
        <v>1439</v>
      </c>
      <c r="E1220" s="2" t="s">
        <v>940</v>
      </c>
      <c r="F1220" s="107">
        <v>583.875</v>
      </c>
      <c r="G1220" s="16">
        <v>0</v>
      </c>
      <c r="H1220" s="107">
        <v>583.875</v>
      </c>
      <c r="I1220" s="108">
        <v>0</v>
      </c>
      <c r="J1220" s="18">
        <v>0</v>
      </c>
      <c r="K1220" s="90" t="s">
        <v>1084</v>
      </c>
    </row>
    <row r="1221" spans="1:11" ht="27.6" customHeight="1" x14ac:dyDescent="0.25">
      <c r="A1221" s="2">
        <v>6</v>
      </c>
      <c r="B1221" s="162"/>
      <c r="C1221" s="109" t="s">
        <v>1779</v>
      </c>
      <c r="D1221" s="10" t="s">
        <v>1446</v>
      </c>
      <c r="E1221" s="2" t="s">
        <v>940</v>
      </c>
      <c r="F1221" s="107">
        <v>1875.48</v>
      </c>
      <c r="G1221" s="16">
        <v>0</v>
      </c>
      <c r="H1221" s="107">
        <v>1875.48</v>
      </c>
      <c r="I1221" s="108">
        <v>0</v>
      </c>
      <c r="J1221" s="18">
        <v>0</v>
      </c>
      <c r="K1221" s="90" t="s">
        <v>1084</v>
      </c>
    </row>
    <row r="1222" spans="1:11" ht="27.6" customHeight="1" x14ac:dyDescent="0.25">
      <c r="A1222" s="2">
        <v>7</v>
      </c>
      <c r="B1222" s="163"/>
      <c r="C1222" s="109" t="s">
        <v>1780</v>
      </c>
      <c r="D1222" s="10" t="s">
        <v>1458</v>
      </c>
      <c r="E1222" s="10" t="s">
        <v>23</v>
      </c>
      <c r="F1222" s="107">
        <v>5250.5367500000002</v>
      </c>
      <c r="G1222" s="16">
        <v>0</v>
      </c>
      <c r="H1222" s="107">
        <v>5250.5367500000002</v>
      </c>
      <c r="I1222" s="108">
        <v>0</v>
      </c>
      <c r="J1222" s="18">
        <v>0</v>
      </c>
      <c r="K1222" s="90" t="s">
        <v>1084</v>
      </c>
    </row>
    <row r="1223" spans="1:11" ht="28.9" customHeight="1" x14ac:dyDescent="0.25">
      <c r="A1223" s="160" t="s">
        <v>1443</v>
      </c>
      <c r="B1223" s="160"/>
      <c r="C1223" s="160"/>
      <c r="D1223" s="20"/>
      <c r="E1223" s="55"/>
      <c r="F1223" s="96">
        <f>SUM(F1216:F1222)</f>
        <v>15928.316749999998</v>
      </c>
      <c r="G1223" s="97">
        <f>SUM(G1216:G1222)</f>
        <v>0</v>
      </c>
      <c r="H1223" s="96">
        <f>SUM(H1216:H1222)</f>
        <v>15928.316749999998</v>
      </c>
      <c r="I1223" s="97">
        <f>SUM(I1216:I1222)</f>
        <v>0</v>
      </c>
      <c r="J1223" s="18">
        <v>0</v>
      </c>
      <c r="K1223" s="96">
        <f>SUM(K1216:K1222)</f>
        <v>0</v>
      </c>
    </row>
    <row r="1224" spans="1:11" ht="75" x14ac:dyDescent="0.25">
      <c r="A1224" s="2">
        <v>1</v>
      </c>
      <c r="B1224" s="2" t="s">
        <v>1772</v>
      </c>
      <c r="C1224" s="92" t="s">
        <v>1781</v>
      </c>
      <c r="D1224" s="10" t="s">
        <v>1434</v>
      </c>
      <c r="E1224" s="10" t="s">
        <v>23</v>
      </c>
      <c r="F1224" s="17">
        <v>19484.206999999999</v>
      </c>
      <c r="G1224" s="16">
        <v>0</v>
      </c>
      <c r="H1224" s="18">
        <v>0</v>
      </c>
      <c r="I1224" s="17">
        <v>19484.206999999999</v>
      </c>
      <c r="J1224" s="18">
        <v>0</v>
      </c>
      <c r="K1224" s="90" t="s">
        <v>1782</v>
      </c>
    </row>
    <row r="1225" spans="1:11" ht="33.6" customHeight="1" x14ac:dyDescent="0.25">
      <c r="A1225" s="160" t="s">
        <v>21</v>
      </c>
      <c r="B1225" s="160"/>
      <c r="C1225" s="160"/>
      <c r="D1225" s="110"/>
      <c r="E1225" s="55"/>
      <c r="F1225" s="96">
        <f>SUM(F1224)</f>
        <v>19484.206999999999</v>
      </c>
      <c r="G1225" s="16">
        <v>0</v>
      </c>
      <c r="H1225" s="18">
        <v>0</v>
      </c>
      <c r="I1225" s="96">
        <f t="shared" ref="I1225" si="148">SUM(I1224)</f>
        <v>19484.206999999999</v>
      </c>
      <c r="J1225" s="18">
        <v>0</v>
      </c>
      <c r="K1225" s="2"/>
    </row>
    <row r="1226" spans="1:11" ht="30" customHeight="1" x14ac:dyDescent="0.25">
      <c r="A1226" s="2">
        <v>1</v>
      </c>
      <c r="B1226" s="161" t="s">
        <v>1783</v>
      </c>
      <c r="C1226" s="92" t="s">
        <v>1784</v>
      </c>
      <c r="D1226" s="10" t="s">
        <v>132</v>
      </c>
      <c r="E1226" s="10" t="s">
        <v>23</v>
      </c>
      <c r="F1226" s="17">
        <v>5558.4</v>
      </c>
      <c r="G1226" s="17">
        <v>1623</v>
      </c>
      <c r="H1226" s="17">
        <v>3935.4</v>
      </c>
      <c r="I1226" s="18">
        <v>0</v>
      </c>
      <c r="J1226" s="18">
        <v>0</v>
      </c>
      <c r="K1226" s="111">
        <v>46143</v>
      </c>
    </row>
    <row r="1227" spans="1:11" ht="30" customHeight="1" x14ac:dyDescent="0.25">
      <c r="A1227" s="2">
        <v>2</v>
      </c>
      <c r="B1227" s="162"/>
      <c r="C1227" s="92" t="s">
        <v>1785</v>
      </c>
      <c r="D1227" s="10" t="s">
        <v>1458</v>
      </c>
      <c r="E1227" s="10" t="s">
        <v>23</v>
      </c>
      <c r="F1227" s="17">
        <v>4636.7749999999996</v>
      </c>
      <c r="G1227" s="18">
        <v>0</v>
      </c>
      <c r="H1227" s="17">
        <v>4636.7749999999996</v>
      </c>
      <c r="I1227" s="18">
        <v>0</v>
      </c>
      <c r="J1227" s="18">
        <v>0</v>
      </c>
      <c r="K1227" s="90" t="s">
        <v>418</v>
      </c>
    </row>
    <row r="1228" spans="1:11" ht="30" customHeight="1" x14ac:dyDescent="0.25">
      <c r="A1228" s="2">
        <v>3</v>
      </c>
      <c r="B1228" s="162"/>
      <c r="C1228" s="92" t="s">
        <v>1786</v>
      </c>
      <c r="D1228" s="10" t="s">
        <v>1434</v>
      </c>
      <c r="E1228" s="10" t="s">
        <v>23</v>
      </c>
      <c r="F1228" s="17">
        <v>2563.6329999999998</v>
      </c>
      <c r="G1228" s="18">
        <v>0</v>
      </c>
      <c r="H1228" s="17">
        <v>2563.6329999999998</v>
      </c>
      <c r="I1228" s="18">
        <v>0</v>
      </c>
      <c r="J1228" s="18">
        <v>0</v>
      </c>
      <c r="K1228" s="90" t="s">
        <v>418</v>
      </c>
    </row>
    <row r="1229" spans="1:11" ht="30" customHeight="1" x14ac:dyDescent="0.25">
      <c r="A1229" s="2">
        <v>4</v>
      </c>
      <c r="B1229" s="162"/>
      <c r="C1229" s="92" t="s">
        <v>1787</v>
      </c>
      <c r="D1229" s="10" t="s">
        <v>1439</v>
      </c>
      <c r="E1229" s="10" t="s">
        <v>23</v>
      </c>
      <c r="F1229" s="17">
        <v>560</v>
      </c>
      <c r="G1229" s="18">
        <v>0</v>
      </c>
      <c r="H1229" s="17">
        <v>560</v>
      </c>
      <c r="I1229" s="18">
        <v>0</v>
      </c>
      <c r="J1229" s="18">
        <v>0</v>
      </c>
      <c r="K1229" s="90" t="s">
        <v>418</v>
      </c>
    </row>
    <row r="1230" spans="1:11" ht="30" customHeight="1" x14ac:dyDescent="0.25">
      <c r="A1230" s="2">
        <v>5</v>
      </c>
      <c r="B1230" s="162"/>
      <c r="C1230" s="92" t="s">
        <v>1788</v>
      </c>
      <c r="D1230" s="10" t="s">
        <v>1442</v>
      </c>
      <c r="E1230" s="10" t="s">
        <v>23</v>
      </c>
      <c r="F1230" s="17">
        <v>810.06</v>
      </c>
      <c r="G1230" s="18">
        <v>0</v>
      </c>
      <c r="H1230" s="17">
        <v>810.06</v>
      </c>
      <c r="I1230" s="18">
        <v>0</v>
      </c>
      <c r="J1230" s="18">
        <v>0</v>
      </c>
      <c r="K1230" s="90" t="s">
        <v>418</v>
      </c>
    </row>
    <row r="1231" spans="1:11" ht="30" customHeight="1" x14ac:dyDescent="0.25">
      <c r="A1231" s="2">
        <v>6</v>
      </c>
      <c r="B1231" s="162"/>
      <c r="C1231" s="92" t="s">
        <v>1789</v>
      </c>
      <c r="D1231" s="10" t="s">
        <v>1592</v>
      </c>
      <c r="E1231" s="10" t="s">
        <v>23</v>
      </c>
      <c r="F1231" s="17">
        <v>4259.42</v>
      </c>
      <c r="G1231" s="18">
        <v>0</v>
      </c>
      <c r="H1231" s="17">
        <v>4259.42</v>
      </c>
      <c r="I1231" s="18">
        <v>0</v>
      </c>
      <c r="J1231" s="18">
        <v>0</v>
      </c>
      <c r="K1231" s="90" t="s">
        <v>418</v>
      </c>
    </row>
    <row r="1232" spans="1:11" ht="30" customHeight="1" x14ac:dyDescent="0.25">
      <c r="A1232" s="2">
        <v>7</v>
      </c>
      <c r="B1232" s="162"/>
      <c r="C1232" s="92" t="s">
        <v>1790</v>
      </c>
      <c r="D1232" s="10" t="s">
        <v>1436</v>
      </c>
      <c r="E1232" s="10" t="s">
        <v>23</v>
      </c>
      <c r="F1232" s="17">
        <v>2168.3530000000001</v>
      </c>
      <c r="G1232" s="18">
        <v>0</v>
      </c>
      <c r="H1232" s="17">
        <v>2168.3530000000001</v>
      </c>
      <c r="I1232" s="18">
        <v>0</v>
      </c>
      <c r="J1232" s="18">
        <v>0</v>
      </c>
      <c r="K1232" s="90" t="s">
        <v>418</v>
      </c>
    </row>
    <row r="1233" spans="1:11" ht="30" customHeight="1" x14ac:dyDescent="0.25">
      <c r="A1233" s="2">
        <v>8</v>
      </c>
      <c r="B1233" s="163"/>
      <c r="C1233" s="92" t="s">
        <v>1791</v>
      </c>
      <c r="D1233" s="10" t="s">
        <v>132</v>
      </c>
      <c r="E1233" s="10" t="s">
        <v>23</v>
      </c>
      <c r="F1233" s="17">
        <v>1007.655</v>
      </c>
      <c r="G1233" s="18">
        <v>0</v>
      </c>
      <c r="H1233" s="18">
        <v>0</v>
      </c>
      <c r="I1233" s="17">
        <v>1007.655</v>
      </c>
      <c r="J1233" s="18">
        <v>0</v>
      </c>
      <c r="K1233" s="90" t="s">
        <v>1139</v>
      </c>
    </row>
    <row r="1234" spans="1:11" ht="29.45" customHeight="1" x14ac:dyDescent="0.25">
      <c r="A1234" s="160" t="s">
        <v>1443</v>
      </c>
      <c r="B1234" s="160"/>
      <c r="C1234" s="160"/>
      <c r="D1234" s="20"/>
      <c r="E1234" s="20"/>
      <c r="F1234" s="96">
        <f>SUM(F1226:F1233)</f>
        <v>21564.295999999998</v>
      </c>
      <c r="G1234" s="96">
        <f>SUM(G1226:G1233)</f>
        <v>1623</v>
      </c>
      <c r="H1234" s="96">
        <f>SUM(H1226:H1233)</f>
        <v>18933.641</v>
      </c>
      <c r="I1234" s="96">
        <f>SUM(I1226:I1233)</f>
        <v>1007.655</v>
      </c>
      <c r="J1234" s="18">
        <v>0</v>
      </c>
      <c r="K1234" s="96"/>
    </row>
    <row r="1235" spans="1:11" ht="26.45" customHeight="1" x14ac:dyDescent="0.25">
      <c r="A1235" s="2">
        <v>1</v>
      </c>
      <c r="B1235" s="161" t="s">
        <v>1783</v>
      </c>
      <c r="C1235" s="92" t="s">
        <v>1792</v>
      </c>
      <c r="D1235" s="10" t="s">
        <v>1434</v>
      </c>
      <c r="E1235" s="10" t="s">
        <v>23</v>
      </c>
      <c r="F1235" s="17">
        <v>4371.57</v>
      </c>
      <c r="G1235" s="18">
        <v>0</v>
      </c>
      <c r="H1235" s="18">
        <v>0</v>
      </c>
      <c r="I1235" s="17">
        <v>4371.57</v>
      </c>
      <c r="J1235" s="18">
        <v>0</v>
      </c>
      <c r="K1235" s="90" t="s">
        <v>210</v>
      </c>
    </row>
    <row r="1236" spans="1:11" ht="26.45" customHeight="1" x14ac:dyDescent="0.25">
      <c r="A1236" s="2">
        <v>2</v>
      </c>
      <c r="B1236" s="162"/>
      <c r="C1236" s="92" t="s">
        <v>1793</v>
      </c>
      <c r="D1236" s="10" t="s">
        <v>1434</v>
      </c>
      <c r="E1236" s="10" t="s">
        <v>23</v>
      </c>
      <c r="F1236" s="17">
        <v>3898.5</v>
      </c>
      <c r="G1236" s="18">
        <v>0</v>
      </c>
      <c r="H1236" s="18">
        <v>0</v>
      </c>
      <c r="I1236" s="17">
        <v>3898.5</v>
      </c>
      <c r="J1236" s="18">
        <v>0</v>
      </c>
      <c r="K1236" s="90" t="s">
        <v>210</v>
      </c>
    </row>
    <row r="1237" spans="1:11" ht="26.45" customHeight="1" x14ac:dyDescent="0.25">
      <c r="A1237" s="2">
        <v>3</v>
      </c>
      <c r="B1237" s="162"/>
      <c r="C1237" s="92" t="s">
        <v>1794</v>
      </c>
      <c r="D1237" s="10" t="s">
        <v>1439</v>
      </c>
      <c r="E1237" s="10" t="s">
        <v>23</v>
      </c>
      <c r="F1237" s="17">
        <v>560</v>
      </c>
      <c r="G1237" s="18">
        <v>0</v>
      </c>
      <c r="H1237" s="18">
        <v>0</v>
      </c>
      <c r="I1237" s="17">
        <v>560</v>
      </c>
      <c r="J1237" s="18">
        <v>0</v>
      </c>
      <c r="K1237" s="90" t="s">
        <v>210</v>
      </c>
    </row>
    <row r="1238" spans="1:11" ht="26.45" customHeight="1" x14ac:dyDescent="0.25">
      <c r="A1238" s="2">
        <v>4</v>
      </c>
      <c r="B1238" s="162"/>
      <c r="C1238" s="92" t="s">
        <v>1795</v>
      </c>
      <c r="D1238" s="10" t="s">
        <v>1442</v>
      </c>
      <c r="E1238" s="10" t="s">
        <v>23</v>
      </c>
      <c r="F1238" s="17">
        <v>810.06</v>
      </c>
      <c r="G1238" s="18">
        <v>0</v>
      </c>
      <c r="H1238" s="18">
        <v>0</v>
      </c>
      <c r="I1238" s="17">
        <v>810.06</v>
      </c>
      <c r="J1238" s="18">
        <v>0</v>
      </c>
      <c r="K1238" s="90" t="s">
        <v>210</v>
      </c>
    </row>
    <row r="1239" spans="1:11" ht="26.45" customHeight="1" x14ac:dyDescent="0.25">
      <c r="A1239" s="2">
        <v>5</v>
      </c>
      <c r="B1239" s="162"/>
      <c r="C1239" s="92" t="s">
        <v>1796</v>
      </c>
      <c r="D1239" s="10" t="s">
        <v>1434</v>
      </c>
      <c r="E1239" s="10" t="s">
        <v>23</v>
      </c>
      <c r="F1239" s="17">
        <v>3606.0309999999999</v>
      </c>
      <c r="G1239" s="18">
        <v>0</v>
      </c>
      <c r="H1239" s="18">
        <v>0</v>
      </c>
      <c r="I1239" s="17">
        <v>3606.0309999999999</v>
      </c>
      <c r="J1239" s="18">
        <v>0</v>
      </c>
      <c r="K1239" s="90" t="s">
        <v>210</v>
      </c>
    </row>
    <row r="1240" spans="1:11" ht="26.45" customHeight="1" x14ac:dyDescent="0.25">
      <c r="A1240" s="2">
        <v>6</v>
      </c>
      <c r="B1240" s="162"/>
      <c r="C1240" s="92" t="s">
        <v>1797</v>
      </c>
      <c r="D1240" s="10" t="s">
        <v>1436</v>
      </c>
      <c r="E1240" s="10" t="s">
        <v>23</v>
      </c>
      <c r="F1240" s="17">
        <v>1752.08</v>
      </c>
      <c r="G1240" s="18">
        <v>0</v>
      </c>
      <c r="H1240" s="18">
        <v>0</v>
      </c>
      <c r="I1240" s="17">
        <v>1752.08</v>
      </c>
      <c r="J1240" s="18">
        <v>0</v>
      </c>
      <c r="K1240" s="90" t="s">
        <v>210</v>
      </c>
    </row>
    <row r="1241" spans="1:11" ht="26.45" customHeight="1" x14ac:dyDescent="0.25">
      <c r="A1241" s="2">
        <v>7</v>
      </c>
      <c r="B1241" s="162"/>
      <c r="C1241" s="92" t="s">
        <v>1798</v>
      </c>
      <c r="D1241" s="10" t="s">
        <v>1542</v>
      </c>
      <c r="E1241" s="10" t="s">
        <v>23</v>
      </c>
      <c r="F1241" s="17">
        <v>4227.5172400000001</v>
      </c>
      <c r="G1241" s="18">
        <v>0</v>
      </c>
      <c r="H1241" s="17">
        <v>4227.5172400000001</v>
      </c>
      <c r="I1241" s="18">
        <v>0</v>
      </c>
      <c r="J1241" s="18">
        <v>0</v>
      </c>
      <c r="K1241" s="90" t="s">
        <v>210</v>
      </c>
    </row>
    <row r="1242" spans="1:11" ht="26.45" customHeight="1" x14ac:dyDescent="0.25">
      <c r="A1242" s="2">
        <v>8</v>
      </c>
      <c r="B1242" s="163"/>
      <c r="C1242" s="92" t="s">
        <v>1799</v>
      </c>
      <c r="D1242" s="10" t="s">
        <v>1428</v>
      </c>
      <c r="E1242" s="10" t="s">
        <v>23</v>
      </c>
      <c r="F1242" s="17">
        <v>593.21699999999998</v>
      </c>
      <c r="G1242" s="18">
        <v>0</v>
      </c>
      <c r="H1242" s="17">
        <v>593.21699999999998</v>
      </c>
      <c r="I1242" s="18">
        <v>0</v>
      </c>
      <c r="J1242" s="18">
        <v>0</v>
      </c>
      <c r="K1242" s="111">
        <v>46419</v>
      </c>
    </row>
    <row r="1243" spans="1:11" ht="31.15" customHeight="1" x14ac:dyDescent="0.25">
      <c r="A1243" s="160" t="s">
        <v>20</v>
      </c>
      <c r="B1243" s="160"/>
      <c r="C1243" s="160"/>
      <c r="D1243" s="110"/>
      <c r="E1243" s="55"/>
      <c r="F1243" s="96">
        <f>SUM(F1235:F1242)</f>
        <v>19818.97524</v>
      </c>
      <c r="G1243" s="97">
        <f>SUM(G1235:G1242)</f>
        <v>0</v>
      </c>
      <c r="H1243" s="96">
        <f>SUM(H1235:H1242)</f>
        <v>4820.7342399999998</v>
      </c>
      <c r="I1243" s="96">
        <f>SUM(I1235:I1242)</f>
        <v>14998.241</v>
      </c>
      <c r="J1243" s="18">
        <v>0</v>
      </c>
      <c r="K1243" s="20"/>
    </row>
    <row r="1244" spans="1:11" ht="33.6" customHeight="1" x14ac:dyDescent="0.25">
      <c r="A1244" s="2">
        <v>1</v>
      </c>
      <c r="B1244" s="161" t="s">
        <v>1783</v>
      </c>
      <c r="C1244" s="92" t="s">
        <v>1800</v>
      </c>
      <c r="D1244" s="10" t="s">
        <v>1542</v>
      </c>
      <c r="E1244" s="10" t="s">
        <v>23</v>
      </c>
      <c r="F1244" s="17">
        <v>4227.5172400000001</v>
      </c>
      <c r="G1244" s="18">
        <v>0</v>
      </c>
      <c r="H1244" s="18">
        <v>0</v>
      </c>
      <c r="I1244" s="17">
        <v>4227.5172400000001</v>
      </c>
      <c r="J1244" s="18">
        <v>0</v>
      </c>
      <c r="K1244" s="114" t="s">
        <v>291</v>
      </c>
    </row>
    <row r="1245" spans="1:11" ht="33.6" customHeight="1" x14ac:dyDescent="0.25">
      <c r="A1245" s="2">
        <v>2</v>
      </c>
      <c r="B1245" s="163"/>
      <c r="C1245" s="92" t="s">
        <v>1801</v>
      </c>
      <c r="D1245" s="10" t="s">
        <v>1428</v>
      </c>
      <c r="E1245" s="10" t="s">
        <v>23</v>
      </c>
      <c r="F1245" s="17">
        <v>593.21699999999998</v>
      </c>
      <c r="G1245" s="18">
        <v>0</v>
      </c>
      <c r="H1245" s="18">
        <v>0</v>
      </c>
      <c r="I1245" s="17">
        <v>593.21699999999998</v>
      </c>
      <c r="J1245" s="18">
        <v>0</v>
      </c>
      <c r="K1245" s="114" t="s">
        <v>291</v>
      </c>
    </row>
    <row r="1246" spans="1:11" ht="35.450000000000003" customHeight="1" x14ac:dyDescent="0.25">
      <c r="A1246" s="160" t="s">
        <v>21</v>
      </c>
      <c r="B1246" s="160"/>
      <c r="C1246" s="160"/>
      <c r="D1246" s="110"/>
      <c r="E1246" s="55"/>
      <c r="F1246" s="96">
        <f>SUM(F1244:F1245)</f>
        <v>4820.7342399999998</v>
      </c>
      <c r="G1246" s="97">
        <f t="shared" ref="G1246:I1246" si="149">SUM(G1244:G1245)</f>
        <v>0</v>
      </c>
      <c r="H1246" s="97">
        <f t="shared" si="149"/>
        <v>0</v>
      </c>
      <c r="I1246" s="96">
        <f t="shared" si="149"/>
        <v>4820.7342399999998</v>
      </c>
      <c r="J1246" s="18">
        <v>0</v>
      </c>
      <c r="K1246" s="20"/>
    </row>
    <row r="1247" spans="1:11" ht="30" customHeight="1" x14ac:dyDescent="0.25">
      <c r="A1247" s="2">
        <v>1</v>
      </c>
      <c r="B1247" s="161" t="s">
        <v>1802</v>
      </c>
      <c r="C1247" s="92" t="s">
        <v>1803</v>
      </c>
      <c r="D1247" s="10" t="s">
        <v>1428</v>
      </c>
      <c r="E1247" s="10" t="s">
        <v>23</v>
      </c>
      <c r="F1247" s="17">
        <v>400</v>
      </c>
      <c r="G1247" s="17">
        <v>400</v>
      </c>
      <c r="H1247" s="18">
        <v>0</v>
      </c>
      <c r="I1247" s="18">
        <v>0</v>
      </c>
      <c r="J1247" s="18">
        <v>0</v>
      </c>
      <c r="K1247" s="114" t="s">
        <v>54</v>
      </c>
    </row>
    <row r="1248" spans="1:11" ht="30" customHeight="1" x14ac:dyDescent="0.25">
      <c r="A1248" s="2">
        <v>2</v>
      </c>
      <c r="B1248" s="162"/>
      <c r="C1248" s="92" t="s">
        <v>1804</v>
      </c>
      <c r="D1248" s="10" t="s">
        <v>132</v>
      </c>
      <c r="E1248" s="10" t="s">
        <v>23</v>
      </c>
      <c r="F1248" s="17">
        <v>4117.2</v>
      </c>
      <c r="G1248" s="17">
        <v>2060.9499999999998</v>
      </c>
      <c r="H1248" s="17">
        <v>2056.25</v>
      </c>
      <c r="I1248" s="18">
        <v>0</v>
      </c>
      <c r="J1248" s="18">
        <v>0</v>
      </c>
      <c r="K1248" s="114" t="s">
        <v>54</v>
      </c>
    </row>
    <row r="1249" spans="1:11" ht="30" customHeight="1" x14ac:dyDescent="0.25">
      <c r="A1249" s="2">
        <v>3</v>
      </c>
      <c r="B1249" s="162"/>
      <c r="C1249" s="92" t="s">
        <v>1805</v>
      </c>
      <c r="D1249" s="10" t="s">
        <v>1434</v>
      </c>
      <c r="E1249" s="10" t="s">
        <v>23</v>
      </c>
      <c r="F1249" s="17">
        <v>3146.2280000000001</v>
      </c>
      <c r="G1249" s="18">
        <v>0</v>
      </c>
      <c r="H1249" s="17">
        <v>3146.2280000000001</v>
      </c>
      <c r="I1249" s="18">
        <v>0</v>
      </c>
      <c r="J1249" s="18">
        <v>0</v>
      </c>
      <c r="K1249" s="114" t="s">
        <v>54</v>
      </c>
    </row>
    <row r="1250" spans="1:11" ht="30" customHeight="1" x14ac:dyDescent="0.25">
      <c r="A1250" s="2">
        <v>4</v>
      </c>
      <c r="B1250" s="162"/>
      <c r="C1250" s="92" t="s">
        <v>1806</v>
      </c>
      <c r="D1250" s="10" t="s">
        <v>1434</v>
      </c>
      <c r="E1250" s="10" t="s">
        <v>23</v>
      </c>
      <c r="F1250" s="17">
        <v>3492.25</v>
      </c>
      <c r="G1250" s="18">
        <v>0</v>
      </c>
      <c r="H1250" s="17">
        <v>3492.25</v>
      </c>
      <c r="I1250" s="18">
        <v>0</v>
      </c>
      <c r="J1250" s="18">
        <v>0</v>
      </c>
      <c r="K1250" s="114" t="s">
        <v>54</v>
      </c>
    </row>
    <row r="1251" spans="1:11" ht="30" customHeight="1" x14ac:dyDescent="0.25">
      <c r="A1251" s="2">
        <v>5</v>
      </c>
      <c r="B1251" s="162"/>
      <c r="C1251" s="92" t="s">
        <v>1807</v>
      </c>
      <c r="D1251" s="10" t="s">
        <v>1434</v>
      </c>
      <c r="E1251" s="10" t="s">
        <v>23</v>
      </c>
      <c r="F1251" s="17">
        <v>2199.067</v>
      </c>
      <c r="G1251" s="18">
        <v>0</v>
      </c>
      <c r="H1251" s="17">
        <v>2199.067</v>
      </c>
      <c r="I1251" s="18">
        <v>0</v>
      </c>
      <c r="J1251" s="18">
        <v>0</v>
      </c>
      <c r="K1251" s="114" t="s">
        <v>54</v>
      </c>
    </row>
    <row r="1252" spans="1:11" ht="30" customHeight="1" x14ac:dyDescent="0.25">
      <c r="A1252" s="2">
        <v>6</v>
      </c>
      <c r="B1252" s="163"/>
      <c r="C1252" s="92" t="s">
        <v>1808</v>
      </c>
      <c r="D1252" s="10" t="s">
        <v>1434</v>
      </c>
      <c r="E1252" s="10" t="s">
        <v>23</v>
      </c>
      <c r="F1252" s="17">
        <v>1158.8</v>
      </c>
      <c r="G1252" s="18">
        <v>0</v>
      </c>
      <c r="H1252" s="17">
        <v>1158.8</v>
      </c>
      <c r="I1252" s="18">
        <v>0</v>
      </c>
      <c r="J1252" s="18">
        <v>0</v>
      </c>
      <c r="K1252" s="114" t="s">
        <v>54</v>
      </c>
    </row>
    <row r="1253" spans="1:11" ht="31.15" customHeight="1" x14ac:dyDescent="0.25">
      <c r="A1253" s="160" t="s">
        <v>1443</v>
      </c>
      <c r="B1253" s="160"/>
      <c r="C1253" s="160"/>
      <c r="D1253" s="20"/>
      <c r="E1253" s="20"/>
      <c r="F1253" s="96">
        <f>SUM(F1247:F1252)</f>
        <v>14513.544999999998</v>
      </c>
      <c r="G1253" s="96">
        <f t="shared" ref="G1253:I1253" si="150">SUM(G1247:G1252)</f>
        <v>2460.9499999999998</v>
      </c>
      <c r="H1253" s="96">
        <f t="shared" si="150"/>
        <v>12052.594999999998</v>
      </c>
      <c r="I1253" s="97">
        <f t="shared" si="150"/>
        <v>0</v>
      </c>
      <c r="J1253" s="18">
        <v>0</v>
      </c>
      <c r="K1253" s="96"/>
    </row>
    <row r="1254" spans="1:11" ht="35.450000000000003" customHeight="1" x14ac:dyDescent="0.25">
      <c r="A1254" s="2">
        <v>1</v>
      </c>
      <c r="B1254" s="161" t="s">
        <v>1802</v>
      </c>
      <c r="C1254" s="92" t="s">
        <v>1809</v>
      </c>
      <c r="D1254" s="10" t="s">
        <v>1434</v>
      </c>
      <c r="E1254" s="10" t="s">
        <v>23</v>
      </c>
      <c r="F1254" s="17">
        <v>5800</v>
      </c>
      <c r="G1254" s="18">
        <v>0</v>
      </c>
      <c r="H1254" s="18">
        <v>0</v>
      </c>
      <c r="I1254" s="17">
        <v>5800</v>
      </c>
      <c r="J1254" s="18">
        <v>0</v>
      </c>
      <c r="K1254" s="114" t="s">
        <v>281</v>
      </c>
    </row>
    <row r="1255" spans="1:11" ht="47.45" customHeight="1" x14ac:dyDescent="0.25">
      <c r="A1255" s="2">
        <v>2</v>
      </c>
      <c r="B1255" s="163"/>
      <c r="C1255" s="92" t="s">
        <v>1810</v>
      </c>
      <c r="D1255" s="10" t="s">
        <v>1434</v>
      </c>
      <c r="E1255" s="10" t="s">
        <v>23</v>
      </c>
      <c r="F1255" s="17">
        <v>4650</v>
      </c>
      <c r="G1255" s="18">
        <v>0</v>
      </c>
      <c r="H1255" s="18">
        <v>0</v>
      </c>
      <c r="I1255" s="17">
        <v>4650</v>
      </c>
      <c r="J1255" s="18">
        <v>0</v>
      </c>
      <c r="K1255" s="114" t="s">
        <v>281</v>
      </c>
    </row>
    <row r="1256" spans="1:11" ht="31.15" customHeight="1" x14ac:dyDescent="0.25">
      <c r="A1256" s="160" t="s">
        <v>20</v>
      </c>
      <c r="B1256" s="160"/>
      <c r="C1256" s="160"/>
      <c r="D1256" s="110"/>
      <c r="E1256" s="55"/>
      <c r="F1256" s="96">
        <f>SUM(F1254:F1255)</f>
        <v>10450</v>
      </c>
      <c r="G1256" s="97">
        <f t="shared" ref="G1256:I1256" si="151">SUM(G1254:G1255)</f>
        <v>0</v>
      </c>
      <c r="H1256" s="97">
        <f t="shared" si="151"/>
        <v>0</v>
      </c>
      <c r="I1256" s="96">
        <f t="shared" si="151"/>
        <v>10450</v>
      </c>
      <c r="J1256" s="18">
        <v>0</v>
      </c>
      <c r="K1256" s="20"/>
    </row>
    <row r="1257" spans="1:11" ht="31.15" customHeight="1" x14ac:dyDescent="0.25">
      <c r="A1257" s="102">
        <v>1</v>
      </c>
      <c r="B1257" s="161" t="s">
        <v>1811</v>
      </c>
      <c r="C1257" s="92" t="s">
        <v>1812</v>
      </c>
      <c r="D1257" s="10" t="s">
        <v>1432</v>
      </c>
      <c r="E1257" s="10" t="s">
        <v>23</v>
      </c>
      <c r="F1257" s="17">
        <v>23571.707999999999</v>
      </c>
      <c r="G1257" s="18">
        <v>0</v>
      </c>
      <c r="H1257" s="17">
        <v>3275.2890000000002</v>
      </c>
      <c r="I1257" s="17">
        <v>20296.419000000002</v>
      </c>
      <c r="J1257" s="18">
        <v>0</v>
      </c>
      <c r="K1257" s="115">
        <v>46327</v>
      </c>
    </row>
    <row r="1258" spans="1:11" ht="31.15" customHeight="1" x14ac:dyDescent="0.25">
      <c r="A1258" s="102">
        <v>2</v>
      </c>
      <c r="B1258" s="162"/>
      <c r="C1258" s="92" t="s">
        <v>1813</v>
      </c>
      <c r="D1258" s="10" t="s">
        <v>132</v>
      </c>
      <c r="E1258" s="10" t="s">
        <v>23</v>
      </c>
      <c r="F1258" s="17">
        <v>4380</v>
      </c>
      <c r="G1258" s="18">
        <v>0</v>
      </c>
      <c r="H1258" s="17">
        <v>3632.5</v>
      </c>
      <c r="I1258" s="17">
        <v>747.5</v>
      </c>
      <c r="J1258" s="18">
        <v>0</v>
      </c>
      <c r="K1258" s="114" t="s">
        <v>1084</v>
      </c>
    </row>
    <row r="1259" spans="1:11" ht="31.15" customHeight="1" x14ac:dyDescent="0.25">
      <c r="A1259" s="102">
        <v>3</v>
      </c>
      <c r="B1259" s="162"/>
      <c r="C1259" s="92" t="s">
        <v>1814</v>
      </c>
      <c r="D1259" s="10" t="s">
        <v>1434</v>
      </c>
      <c r="E1259" s="10" t="s">
        <v>23</v>
      </c>
      <c r="F1259" s="17">
        <v>3109.7</v>
      </c>
      <c r="G1259" s="18">
        <v>0</v>
      </c>
      <c r="H1259" s="17">
        <v>3109.7</v>
      </c>
      <c r="I1259" s="18">
        <v>0</v>
      </c>
      <c r="J1259" s="18">
        <v>0</v>
      </c>
      <c r="K1259" s="114" t="s">
        <v>1084</v>
      </c>
    </row>
    <row r="1260" spans="1:11" ht="27.6" customHeight="1" x14ac:dyDescent="0.25">
      <c r="A1260" s="102">
        <v>4</v>
      </c>
      <c r="B1260" s="162"/>
      <c r="C1260" s="92" t="s">
        <v>1815</v>
      </c>
      <c r="D1260" s="10" t="s">
        <v>1442</v>
      </c>
      <c r="E1260" s="10" t="s">
        <v>23</v>
      </c>
      <c r="F1260" s="17">
        <v>779.26</v>
      </c>
      <c r="G1260" s="18">
        <v>0</v>
      </c>
      <c r="H1260" s="17">
        <v>779.26</v>
      </c>
      <c r="I1260" s="18">
        <v>0</v>
      </c>
      <c r="J1260" s="18">
        <v>0</v>
      </c>
      <c r="K1260" s="114" t="s">
        <v>1084</v>
      </c>
    </row>
    <row r="1261" spans="1:11" ht="31.15" customHeight="1" x14ac:dyDescent="0.25">
      <c r="A1261" s="102">
        <v>5</v>
      </c>
      <c r="B1261" s="162"/>
      <c r="C1261" s="92" t="s">
        <v>1816</v>
      </c>
      <c r="D1261" s="10" t="s">
        <v>1436</v>
      </c>
      <c r="E1261" s="10" t="s">
        <v>23</v>
      </c>
      <c r="F1261" s="17">
        <v>1595</v>
      </c>
      <c r="G1261" s="18">
        <v>0</v>
      </c>
      <c r="H1261" s="17">
        <v>1595</v>
      </c>
      <c r="I1261" s="18">
        <v>0</v>
      </c>
      <c r="J1261" s="18">
        <v>0</v>
      </c>
      <c r="K1261" s="114" t="s">
        <v>1084</v>
      </c>
    </row>
    <row r="1262" spans="1:11" ht="31.15" customHeight="1" x14ac:dyDescent="0.25">
      <c r="A1262" s="102">
        <v>6</v>
      </c>
      <c r="B1262" s="162"/>
      <c r="C1262" s="92" t="s">
        <v>1817</v>
      </c>
      <c r="D1262" s="10" t="s">
        <v>1434</v>
      </c>
      <c r="E1262" s="10" t="s">
        <v>23</v>
      </c>
      <c r="F1262" s="17">
        <v>4420.8999999999996</v>
      </c>
      <c r="G1262" s="18">
        <v>0</v>
      </c>
      <c r="H1262" s="17">
        <v>4420.8999999999996</v>
      </c>
      <c r="I1262" s="18">
        <v>0</v>
      </c>
      <c r="J1262" s="18">
        <v>0</v>
      </c>
      <c r="K1262" s="114" t="s">
        <v>1084</v>
      </c>
    </row>
    <row r="1263" spans="1:11" ht="31.15" customHeight="1" x14ac:dyDescent="0.25">
      <c r="A1263" s="102">
        <v>7</v>
      </c>
      <c r="B1263" s="162"/>
      <c r="C1263" s="92" t="s">
        <v>1818</v>
      </c>
      <c r="D1263" s="10" t="s">
        <v>1439</v>
      </c>
      <c r="E1263" s="10" t="s">
        <v>23</v>
      </c>
      <c r="F1263" s="17">
        <v>531.63</v>
      </c>
      <c r="G1263" s="18">
        <v>0</v>
      </c>
      <c r="H1263" s="17">
        <v>531.63</v>
      </c>
      <c r="I1263" s="18">
        <v>0</v>
      </c>
      <c r="J1263" s="18">
        <v>0</v>
      </c>
      <c r="K1263" s="114" t="s">
        <v>1084</v>
      </c>
    </row>
    <row r="1264" spans="1:11" ht="31.15" customHeight="1" x14ac:dyDescent="0.25">
      <c r="A1264" s="102">
        <v>8</v>
      </c>
      <c r="B1264" s="162"/>
      <c r="C1264" s="92" t="s">
        <v>1819</v>
      </c>
      <c r="D1264" s="10" t="s">
        <v>1434</v>
      </c>
      <c r="E1264" s="10" t="s">
        <v>23</v>
      </c>
      <c r="F1264" s="17">
        <v>1784.64</v>
      </c>
      <c r="G1264" s="18">
        <v>0</v>
      </c>
      <c r="H1264" s="17">
        <v>1784.64</v>
      </c>
      <c r="I1264" s="18">
        <v>0</v>
      </c>
      <c r="J1264" s="18">
        <v>0</v>
      </c>
      <c r="K1264" s="114" t="s">
        <v>1084</v>
      </c>
    </row>
    <row r="1265" spans="1:11" ht="31.15" customHeight="1" x14ac:dyDescent="0.25">
      <c r="A1265" s="102">
        <v>9</v>
      </c>
      <c r="B1265" s="162"/>
      <c r="C1265" s="92" t="s">
        <v>1820</v>
      </c>
      <c r="D1265" s="10" t="s">
        <v>1390</v>
      </c>
      <c r="E1265" s="10" t="s">
        <v>23</v>
      </c>
      <c r="F1265" s="17">
        <v>36.559440000000002</v>
      </c>
      <c r="G1265" s="18">
        <v>0</v>
      </c>
      <c r="H1265" s="17">
        <v>36.559440000000002</v>
      </c>
      <c r="I1265" s="18">
        <v>0</v>
      </c>
      <c r="J1265" s="18">
        <v>0</v>
      </c>
      <c r="K1265" s="114" t="s">
        <v>1084</v>
      </c>
    </row>
    <row r="1266" spans="1:11" ht="31.15" customHeight="1" x14ac:dyDescent="0.25">
      <c r="A1266" s="102">
        <v>10</v>
      </c>
      <c r="B1266" s="162"/>
      <c r="C1266" s="92" t="s">
        <v>1821</v>
      </c>
      <c r="D1266" s="10" t="s">
        <v>1246</v>
      </c>
      <c r="E1266" s="10" t="s">
        <v>23</v>
      </c>
      <c r="F1266" s="17">
        <v>40.799999999999997</v>
      </c>
      <c r="G1266" s="18">
        <v>0</v>
      </c>
      <c r="H1266" s="17">
        <v>40.799999999999997</v>
      </c>
      <c r="I1266" s="18">
        <v>0</v>
      </c>
      <c r="J1266" s="18">
        <v>0</v>
      </c>
      <c r="K1266" s="114" t="s">
        <v>1084</v>
      </c>
    </row>
    <row r="1267" spans="1:11" ht="31.15" customHeight="1" x14ac:dyDescent="0.25">
      <c r="A1267" s="102">
        <v>11</v>
      </c>
      <c r="B1267" s="163"/>
      <c r="C1267" s="92" t="s">
        <v>1822</v>
      </c>
      <c r="D1267" s="10" t="s">
        <v>266</v>
      </c>
      <c r="E1267" s="10" t="s">
        <v>23</v>
      </c>
      <c r="F1267" s="17">
        <v>279.68</v>
      </c>
      <c r="G1267" s="18">
        <v>0</v>
      </c>
      <c r="H1267" s="17">
        <v>186.45</v>
      </c>
      <c r="I1267" s="17">
        <v>93.23</v>
      </c>
      <c r="J1267" s="18">
        <v>0</v>
      </c>
      <c r="K1267" s="114" t="s">
        <v>1084</v>
      </c>
    </row>
    <row r="1268" spans="1:11" ht="29.45" customHeight="1" x14ac:dyDescent="0.25">
      <c r="A1268" s="160" t="s">
        <v>1443</v>
      </c>
      <c r="B1268" s="160"/>
      <c r="C1268" s="160"/>
      <c r="D1268" s="110"/>
      <c r="E1268" s="55"/>
      <c r="F1268" s="96">
        <f>SUM(F1257:F1267)</f>
        <v>40529.877439999997</v>
      </c>
      <c r="G1268" s="97">
        <f>SUM(G1257:G1267)</f>
        <v>0</v>
      </c>
      <c r="H1268" s="96">
        <f>SUM(H1257:H1267)</f>
        <v>19392.728440000003</v>
      </c>
      <c r="I1268" s="96">
        <f>SUM(I1257:I1267)</f>
        <v>21137.149000000001</v>
      </c>
      <c r="J1268" s="18">
        <v>0</v>
      </c>
      <c r="K1268" s="96"/>
    </row>
    <row r="1269" spans="1:11" ht="29.45" customHeight="1" x14ac:dyDescent="0.25">
      <c r="A1269" s="102">
        <v>1</v>
      </c>
      <c r="B1269" s="161" t="s">
        <v>1823</v>
      </c>
      <c r="C1269" s="109" t="s">
        <v>1824</v>
      </c>
      <c r="D1269" s="10" t="s">
        <v>1390</v>
      </c>
      <c r="E1269" s="10" t="s">
        <v>23</v>
      </c>
      <c r="F1269" s="107">
        <v>117.59532</v>
      </c>
      <c r="G1269" s="107">
        <v>9.7996100000000013</v>
      </c>
      <c r="H1269" s="107">
        <v>58.79766</v>
      </c>
      <c r="I1269" s="108">
        <v>48.998050000000006</v>
      </c>
      <c r="J1269" s="18">
        <v>0</v>
      </c>
      <c r="K1269" s="115">
        <v>46204</v>
      </c>
    </row>
    <row r="1270" spans="1:11" ht="29.45" customHeight="1" x14ac:dyDescent="0.25">
      <c r="A1270" s="102">
        <v>2</v>
      </c>
      <c r="B1270" s="162"/>
      <c r="C1270" s="109" t="s">
        <v>1825</v>
      </c>
      <c r="D1270" s="10" t="s">
        <v>132</v>
      </c>
      <c r="E1270" s="10" t="s">
        <v>23</v>
      </c>
      <c r="F1270" s="107">
        <v>3461.6966400000001</v>
      </c>
      <c r="G1270" s="107">
        <v>393.20024999999998</v>
      </c>
      <c r="H1270" s="107">
        <v>3068.4963900000002</v>
      </c>
      <c r="I1270" s="108">
        <v>0</v>
      </c>
      <c r="J1270" s="18">
        <v>0</v>
      </c>
      <c r="K1270" s="115">
        <v>46204</v>
      </c>
    </row>
    <row r="1271" spans="1:11" ht="29.45" customHeight="1" x14ac:dyDescent="0.25">
      <c r="A1271" s="102">
        <v>3</v>
      </c>
      <c r="B1271" s="162"/>
      <c r="C1271" s="109" t="s">
        <v>1826</v>
      </c>
      <c r="D1271" s="10" t="s">
        <v>1648</v>
      </c>
      <c r="E1271" s="10" t="s">
        <v>23</v>
      </c>
      <c r="F1271" s="107">
        <v>242.4</v>
      </c>
      <c r="G1271" s="107">
        <v>10.1</v>
      </c>
      <c r="H1271" s="107">
        <v>121.2</v>
      </c>
      <c r="I1271" s="107">
        <v>111.1</v>
      </c>
      <c r="J1271" s="18">
        <v>0</v>
      </c>
      <c r="K1271" s="115">
        <v>46204</v>
      </c>
    </row>
    <row r="1272" spans="1:11" ht="29.45" customHeight="1" x14ac:dyDescent="0.25">
      <c r="A1272" s="102">
        <v>4</v>
      </c>
      <c r="B1272" s="162"/>
      <c r="C1272" s="109" t="s">
        <v>1827</v>
      </c>
      <c r="D1272" s="10" t="s">
        <v>1486</v>
      </c>
      <c r="E1272" s="10" t="s">
        <v>23</v>
      </c>
      <c r="F1272" s="107">
        <v>2805.9547799999996</v>
      </c>
      <c r="G1272" s="108">
        <v>0</v>
      </c>
      <c r="H1272" s="107">
        <v>2805.9547799999996</v>
      </c>
      <c r="I1272" s="108">
        <v>0</v>
      </c>
      <c r="J1272" s="18">
        <v>0</v>
      </c>
      <c r="K1272" s="114" t="s">
        <v>1084</v>
      </c>
    </row>
    <row r="1273" spans="1:11" ht="29.45" customHeight="1" x14ac:dyDescent="0.25">
      <c r="A1273" s="102">
        <v>5</v>
      </c>
      <c r="B1273" s="162"/>
      <c r="C1273" s="109" t="s">
        <v>1828</v>
      </c>
      <c r="D1273" s="10" t="s">
        <v>1696</v>
      </c>
      <c r="E1273" s="10" t="s">
        <v>23</v>
      </c>
      <c r="F1273" s="107">
        <v>3535.8443700000003</v>
      </c>
      <c r="G1273" s="108">
        <v>0</v>
      </c>
      <c r="H1273" s="107">
        <v>3535.8443700000003</v>
      </c>
      <c r="I1273" s="108">
        <v>0</v>
      </c>
      <c r="J1273" s="18">
        <v>0</v>
      </c>
      <c r="K1273" s="114" t="s">
        <v>1084</v>
      </c>
    </row>
    <row r="1274" spans="1:11" ht="29.45" customHeight="1" x14ac:dyDescent="0.25">
      <c r="A1274" s="102">
        <v>6</v>
      </c>
      <c r="B1274" s="162"/>
      <c r="C1274" s="109" t="s">
        <v>1829</v>
      </c>
      <c r="D1274" s="10" t="s">
        <v>1595</v>
      </c>
      <c r="E1274" s="10" t="s">
        <v>23</v>
      </c>
      <c r="F1274" s="107">
        <v>3811.8578700000003</v>
      </c>
      <c r="G1274" s="108">
        <v>0</v>
      </c>
      <c r="H1274" s="107">
        <v>3811.8578700000003</v>
      </c>
      <c r="I1274" s="108">
        <v>0</v>
      </c>
      <c r="J1274" s="18">
        <v>0</v>
      </c>
      <c r="K1274" s="114" t="s">
        <v>1084</v>
      </c>
    </row>
    <row r="1275" spans="1:11" ht="29.45" customHeight="1" x14ac:dyDescent="0.25">
      <c r="A1275" s="102">
        <v>7</v>
      </c>
      <c r="B1275" s="162"/>
      <c r="C1275" s="109" t="s">
        <v>1830</v>
      </c>
      <c r="D1275" s="10" t="s">
        <v>1436</v>
      </c>
      <c r="E1275" s="10" t="s">
        <v>23</v>
      </c>
      <c r="F1275" s="107">
        <v>1655.49245</v>
      </c>
      <c r="G1275" s="108">
        <v>0</v>
      </c>
      <c r="H1275" s="107">
        <v>1655.49245</v>
      </c>
      <c r="I1275" s="108">
        <v>0</v>
      </c>
      <c r="J1275" s="18">
        <v>0</v>
      </c>
      <c r="K1275" s="114" t="s">
        <v>1084</v>
      </c>
    </row>
    <row r="1276" spans="1:11" ht="29.45" customHeight="1" x14ac:dyDescent="0.25">
      <c r="A1276" s="102">
        <v>8</v>
      </c>
      <c r="B1276" s="162"/>
      <c r="C1276" s="109" t="s">
        <v>1831</v>
      </c>
      <c r="D1276" s="10" t="s">
        <v>1442</v>
      </c>
      <c r="E1276" s="10" t="s">
        <v>23</v>
      </c>
      <c r="F1276" s="107">
        <v>672.83993000000009</v>
      </c>
      <c r="G1276" s="108">
        <v>0</v>
      </c>
      <c r="H1276" s="107">
        <v>672.83993000000009</v>
      </c>
      <c r="I1276" s="108">
        <v>0</v>
      </c>
      <c r="J1276" s="18">
        <v>0</v>
      </c>
      <c r="K1276" s="114" t="s">
        <v>1084</v>
      </c>
    </row>
    <row r="1277" spans="1:11" ht="29.45" customHeight="1" x14ac:dyDescent="0.25">
      <c r="A1277" s="102">
        <v>9</v>
      </c>
      <c r="B1277" s="162"/>
      <c r="C1277" s="109" t="s">
        <v>1832</v>
      </c>
      <c r="D1277" s="10" t="s">
        <v>1446</v>
      </c>
      <c r="E1277" s="10" t="s">
        <v>23</v>
      </c>
      <c r="F1277" s="107">
        <v>1448.3852400000001</v>
      </c>
      <c r="G1277" s="108">
        <v>0</v>
      </c>
      <c r="H1277" s="107">
        <v>1448.3852400000001</v>
      </c>
      <c r="I1277" s="108">
        <v>0</v>
      </c>
      <c r="J1277" s="18">
        <v>0</v>
      </c>
      <c r="K1277" s="114" t="s">
        <v>1084</v>
      </c>
    </row>
    <row r="1278" spans="1:11" ht="29.45" customHeight="1" x14ac:dyDescent="0.25">
      <c r="A1278" s="102">
        <v>10</v>
      </c>
      <c r="B1278" s="163"/>
      <c r="C1278" s="109" t="s">
        <v>1833</v>
      </c>
      <c r="D1278" s="10" t="s">
        <v>1296</v>
      </c>
      <c r="E1278" s="10" t="s">
        <v>23</v>
      </c>
      <c r="F1278" s="107">
        <v>962.39578000000006</v>
      </c>
      <c r="G1278" s="108">
        <v>0</v>
      </c>
      <c r="H1278" s="107">
        <v>962.39578000000006</v>
      </c>
      <c r="I1278" s="108">
        <v>0</v>
      </c>
      <c r="J1278" s="18">
        <v>0</v>
      </c>
      <c r="K1278" s="114" t="s">
        <v>1084</v>
      </c>
    </row>
    <row r="1279" spans="1:11" ht="29.45" customHeight="1" x14ac:dyDescent="0.25">
      <c r="A1279" s="160" t="s">
        <v>1443</v>
      </c>
      <c r="B1279" s="160"/>
      <c r="C1279" s="160"/>
      <c r="D1279" s="110"/>
      <c r="E1279" s="110"/>
      <c r="F1279" s="116">
        <f>SUM(F1269:F1278)</f>
        <v>18714.462380000001</v>
      </c>
      <c r="G1279" s="116">
        <f>SUM(G1269:G1278)</f>
        <v>413.09986000000004</v>
      </c>
      <c r="H1279" s="116">
        <f>SUM(H1269:H1278)</f>
        <v>18141.264469999998</v>
      </c>
      <c r="I1279" s="116">
        <f>SUM(I1269:I1278)</f>
        <v>160.09805</v>
      </c>
      <c r="J1279" s="18">
        <v>0</v>
      </c>
      <c r="K1279" s="114"/>
    </row>
    <row r="1280" spans="1:11" ht="29.45" customHeight="1" x14ac:dyDescent="0.25">
      <c r="A1280" s="102">
        <v>1</v>
      </c>
      <c r="B1280" s="161" t="s">
        <v>1823</v>
      </c>
      <c r="C1280" s="92" t="s">
        <v>1834</v>
      </c>
      <c r="D1280" s="10" t="s">
        <v>1434</v>
      </c>
      <c r="E1280" s="10" t="s">
        <v>23</v>
      </c>
      <c r="F1280" s="17">
        <v>69.625360000000001</v>
      </c>
      <c r="G1280" s="18">
        <v>0</v>
      </c>
      <c r="H1280" s="17">
        <v>69.625360000000001</v>
      </c>
      <c r="I1280" s="18">
        <v>0</v>
      </c>
      <c r="J1280" s="18">
        <v>0</v>
      </c>
      <c r="K1280" s="114" t="s">
        <v>65</v>
      </c>
    </row>
    <row r="1281" spans="1:11" ht="29.45" customHeight="1" x14ac:dyDescent="0.25">
      <c r="A1281" s="102">
        <v>2</v>
      </c>
      <c r="B1281" s="163"/>
      <c r="C1281" s="92" t="s">
        <v>1835</v>
      </c>
      <c r="D1281" s="10" t="s">
        <v>1836</v>
      </c>
      <c r="E1281" s="10" t="s">
        <v>23</v>
      </c>
      <c r="F1281" s="17">
        <v>5226.8356800000001</v>
      </c>
      <c r="G1281" s="18">
        <v>0</v>
      </c>
      <c r="H1281" s="17">
        <v>5226.8356800000001</v>
      </c>
      <c r="I1281" s="18">
        <v>0</v>
      </c>
      <c r="J1281" s="18">
        <v>0</v>
      </c>
      <c r="K1281" s="114" t="s">
        <v>65</v>
      </c>
    </row>
    <row r="1282" spans="1:11" ht="28.9" customHeight="1" x14ac:dyDescent="0.25">
      <c r="A1282" s="160" t="s">
        <v>20</v>
      </c>
      <c r="B1282" s="160"/>
      <c r="C1282" s="160"/>
      <c r="D1282" s="110"/>
      <c r="E1282" s="55"/>
      <c r="F1282" s="96">
        <f>SUM(F1280:F1281)</f>
        <v>5296.4610400000001</v>
      </c>
      <c r="G1282" s="97">
        <f t="shared" ref="G1282:I1282" si="152">SUM(G1280:G1281)</f>
        <v>0</v>
      </c>
      <c r="H1282" s="96">
        <f t="shared" si="152"/>
        <v>5296.4610400000001</v>
      </c>
      <c r="I1282" s="97">
        <f t="shared" si="152"/>
        <v>0</v>
      </c>
      <c r="J1282" s="18">
        <v>0</v>
      </c>
      <c r="K1282" s="17"/>
    </row>
    <row r="1283" spans="1:11" ht="35.450000000000003" customHeight="1" x14ac:dyDescent="0.25">
      <c r="A1283" s="100">
        <v>1</v>
      </c>
      <c r="B1283" s="161" t="s">
        <v>1823</v>
      </c>
      <c r="C1283" s="92" t="s">
        <v>1837</v>
      </c>
      <c r="D1283" s="10" t="s">
        <v>1434</v>
      </c>
      <c r="E1283" s="10" t="s">
        <v>23</v>
      </c>
      <c r="F1283" s="17">
        <v>14000</v>
      </c>
      <c r="G1283" s="18">
        <v>0</v>
      </c>
      <c r="H1283" s="18">
        <v>0</v>
      </c>
      <c r="I1283" s="17">
        <v>14000</v>
      </c>
      <c r="J1283" s="18">
        <v>0</v>
      </c>
      <c r="K1283" s="114" t="s">
        <v>109</v>
      </c>
    </row>
    <row r="1284" spans="1:11" ht="35.450000000000003" customHeight="1" x14ac:dyDescent="0.25">
      <c r="A1284" s="100">
        <v>2</v>
      </c>
      <c r="B1284" s="163"/>
      <c r="C1284" s="92" t="s">
        <v>1838</v>
      </c>
      <c r="D1284" s="10" t="s">
        <v>1836</v>
      </c>
      <c r="E1284" s="10" t="s">
        <v>23</v>
      </c>
      <c r="F1284" s="17">
        <v>5226.8356800000001</v>
      </c>
      <c r="G1284" s="18">
        <v>0</v>
      </c>
      <c r="H1284" s="18">
        <v>0</v>
      </c>
      <c r="I1284" s="17">
        <v>5226.8356800000001</v>
      </c>
      <c r="J1284" s="18">
        <v>0</v>
      </c>
      <c r="K1284" s="114" t="s">
        <v>109</v>
      </c>
    </row>
    <row r="1285" spans="1:11" ht="33.6" customHeight="1" x14ac:dyDescent="0.25">
      <c r="A1285" s="160" t="s">
        <v>21</v>
      </c>
      <c r="B1285" s="160"/>
      <c r="C1285" s="160"/>
      <c r="D1285" s="110"/>
      <c r="E1285" s="55"/>
      <c r="F1285" s="96">
        <f>SUM(F1283:F1284)</f>
        <v>19226.83568</v>
      </c>
      <c r="G1285" s="97">
        <f t="shared" ref="G1285:I1285" si="153">SUM(G1283:G1284)</f>
        <v>0</v>
      </c>
      <c r="H1285" s="97">
        <f t="shared" si="153"/>
        <v>0</v>
      </c>
      <c r="I1285" s="96">
        <f t="shared" si="153"/>
        <v>19226.83568</v>
      </c>
      <c r="J1285" s="18">
        <v>0</v>
      </c>
      <c r="K1285" s="96"/>
    </row>
    <row r="1286" spans="1:11" ht="30" customHeight="1" x14ac:dyDescent="0.25">
      <c r="A1286" s="102">
        <v>1</v>
      </c>
      <c r="B1286" s="161" t="s">
        <v>1839</v>
      </c>
      <c r="C1286" s="109" t="s">
        <v>1840</v>
      </c>
      <c r="D1286" s="10" t="s">
        <v>1686</v>
      </c>
      <c r="E1286" s="10" t="s">
        <v>23</v>
      </c>
      <c r="F1286" s="107">
        <v>130.727</v>
      </c>
      <c r="G1286" s="108">
        <v>0</v>
      </c>
      <c r="H1286" s="107">
        <v>65.363500000000002</v>
      </c>
      <c r="I1286" s="107">
        <v>65.363500000000002</v>
      </c>
      <c r="J1286" s="18">
        <v>0</v>
      </c>
      <c r="K1286" s="115">
        <v>46204</v>
      </c>
    </row>
    <row r="1287" spans="1:11" ht="30" customHeight="1" x14ac:dyDescent="0.25">
      <c r="A1287" s="102">
        <v>2</v>
      </c>
      <c r="B1287" s="162"/>
      <c r="C1287" s="109" t="s">
        <v>1841</v>
      </c>
      <c r="D1287" s="10" t="s">
        <v>1436</v>
      </c>
      <c r="E1287" s="10" t="s">
        <v>23</v>
      </c>
      <c r="F1287" s="107">
        <v>659.30540000000008</v>
      </c>
      <c r="G1287" s="108">
        <v>0</v>
      </c>
      <c r="H1287" s="107">
        <v>659.30540000000008</v>
      </c>
      <c r="I1287" s="108">
        <v>0</v>
      </c>
      <c r="J1287" s="18">
        <v>0</v>
      </c>
      <c r="K1287" s="114" t="s">
        <v>1084</v>
      </c>
    </row>
    <row r="1288" spans="1:11" ht="30" customHeight="1" x14ac:dyDescent="0.25">
      <c r="A1288" s="102">
        <v>3</v>
      </c>
      <c r="B1288" s="162"/>
      <c r="C1288" s="109" t="s">
        <v>1842</v>
      </c>
      <c r="D1288" s="10" t="s">
        <v>1595</v>
      </c>
      <c r="E1288" s="10" t="s">
        <v>23</v>
      </c>
      <c r="F1288" s="107">
        <v>2910.5924</v>
      </c>
      <c r="G1288" s="108">
        <v>0</v>
      </c>
      <c r="H1288" s="107">
        <v>2910.5924</v>
      </c>
      <c r="I1288" s="108">
        <v>0</v>
      </c>
      <c r="J1288" s="18">
        <v>0</v>
      </c>
      <c r="K1288" s="114" t="s">
        <v>418</v>
      </c>
    </row>
    <row r="1289" spans="1:11" ht="30" customHeight="1" x14ac:dyDescent="0.25">
      <c r="A1289" s="102">
        <v>4</v>
      </c>
      <c r="B1289" s="162"/>
      <c r="C1289" s="109" t="s">
        <v>1843</v>
      </c>
      <c r="D1289" s="10" t="s">
        <v>1442</v>
      </c>
      <c r="E1289" s="10" t="s">
        <v>23</v>
      </c>
      <c r="F1289" s="107">
        <v>510.55559999999997</v>
      </c>
      <c r="G1289" s="108">
        <v>0</v>
      </c>
      <c r="H1289" s="107">
        <v>510.55559999999997</v>
      </c>
      <c r="I1289" s="108">
        <v>0</v>
      </c>
      <c r="J1289" s="18">
        <v>0</v>
      </c>
      <c r="K1289" s="114" t="s">
        <v>418</v>
      </c>
    </row>
    <row r="1290" spans="1:11" ht="30" customHeight="1" x14ac:dyDescent="0.25">
      <c r="A1290" s="102">
        <v>5</v>
      </c>
      <c r="B1290" s="162"/>
      <c r="C1290" s="109" t="s">
        <v>1844</v>
      </c>
      <c r="D1290" s="10" t="s">
        <v>1446</v>
      </c>
      <c r="E1290" s="10" t="s">
        <v>23</v>
      </c>
      <c r="F1290" s="107">
        <v>1129.5818999999999</v>
      </c>
      <c r="G1290" s="108">
        <v>0</v>
      </c>
      <c r="H1290" s="107">
        <v>1129.5818999999999</v>
      </c>
      <c r="I1290" s="108">
        <v>0</v>
      </c>
      <c r="J1290" s="18">
        <v>0</v>
      </c>
      <c r="K1290" s="114" t="s">
        <v>418</v>
      </c>
    </row>
    <row r="1291" spans="1:11" ht="30" customHeight="1" x14ac:dyDescent="0.25">
      <c r="A1291" s="102">
        <v>6</v>
      </c>
      <c r="B1291" s="162"/>
      <c r="C1291" s="109" t="s">
        <v>1845</v>
      </c>
      <c r="D1291" s="10" t="s">
        <v>1846</v>
      </c>
      <c r="E1291" s="10" t="s">
        <v>23</v>
      </c>
      <c r="F1291" s="107">
        <v>2461.16</v>
      </c>
      <c r="G1291" s="108">
        <v>0</v>
      </c>
      <c r="H1291" s="107">
        <v>2461.16</v>
      </c>
      <c r="I1291" s="108">
        <v>0</v>
      </c>
      <c r="J1291" s="18">
        <v>0</v>
      </c>
      <c r="K1291" s="114" t="s">
        <v>418</v>
      </c>
    </row>
    <row r="1292" spans="1:11" ht="31.9" customHeight="1" x14ac:dyDescent="0.25">
      <c r="A1292" s="102">
        <v>7</v>
      </c>
      <c r="B1292" s="163"/>
      <c r="C1292" s="109" t="s">
        <v>1847</v>
      </c>
      <c r="D1292" s="10" t="s">
        <v>132</v>
      </c>
      <c r="E1292" s="10" t="s">
        <v>23</v>
      </c>
      <c r="F1292" s="107">
        <v>3529.5942</v>
      </c>
      <c r="G1292" s="108">
        <v>0</v>
      </c>
      <c r="H1292" s="107">
        <v>2357.6256000000003</v>
      </c>
      <c r="I1292" s="107">
        <v>1171.9686000000002</v>
      </c>
      <c r="J1292" s="18">
        <v>0</v>
      </c>
      <c r="K1292" s="114" t="s">
        <v>418</v>
      </c>
    </row>
    <row r="1293" spans="1:11" ht="25.9" customHeight="1" x14ac:dyDescent="0.25">
      <c r="A1293" s="160" t="s">
        <v>1443</v>
      </c>
      <c r="B1293" s="160"/>
      <c r="C1293" s="160"/>
      <c r="D1293" s="110"/>
      <c r="E1293" s="55"/>
      <c r="F1293" s="96">
        <f>SUM(F1286:F1292)</f>
        <v>11331.5165</v>
      </c>
      <c r="G1293" s="97">
        <f>SUM(G1286:G1292)</f>
        <v>0</v>
      </c>
      <c r="H1293" s="96">
        <f>SUM(H1286:H1292)</f>
        <v>10094.1844</v>
      </c>
      <c r="I1293" s="96">
        <f>SUM(I1286:I1292)</f>
        <v>1237.3321000000001</v>
      </c>
      <c r="J1293" s="18">
        <v>0</v>
      </c>
      <c r="K1293" s="96"/>
    </row>
    <row r="1294" spans="1:11" ht="90" x14ac:dyDescent="0.25">
      <c r="A1294" s="2">
        <v>1</v>
      </c>
      <c r="B1294" s="2" t="s">
        <v>1839</v>
      </c>
      <c r="C1294" s="90" t="s">
        <v>1848</v>
      </c>
      <c r="D1294" s="10" t="s">
        <v>1434</v>
      </c>
      <c r="E1294" s="10" t="s">
        <v>23</v>
      </c>
      <c r="F1294" s="17">
        <v>14865.578</v>
      </c>
      <c r="G1294" s="18">
        <v>0</v>
      </c>
      <c r="H1294" s="18">
        <v>0</v>
      </c>
      <c r="I1294" s="17">
        <v>14865.578</v>
      </c>
      <c r="J1294" s="18">
        <v>0</v>
      </c>
      <c r="K1294" s="114" t="s">
        <v>438</v>
      </c>
    </row>
    <row r="1295" spans="1:11" ht="36" customHeight="1" x14ac:dyDescent="0.25">
      <c r="A1295" s="160" t="s">
        <v>21</v>
      </c>
      <c r="B1295" s="160"/>
      <c r="C1295" s="160"/>
      <c r="D1295" s="110"/>
      <c r="E1295" s="117"/>
      <c r="F1295" s="96">
        <f>SUM(F1294)</f>
        <v>14865.578</v>
      </c>
      <c r="G1295" s="97">
        <f t="shared" ref="G1295:I1295" si="154">SUM(G1294)</f>
        <v>0</v>
      </c>
      <c r="H1295" s="97">
        <f t="shared" si="154"/>
        <v>0</v>
      </c>
      <c r="I1295" s="96">
        <f t="shared" si="154"/>
        <v>14865.578</v>
      </c>
      <c r="J1295" s="18">
        <v>0</v>
      </c>
      <c r="K1295" s="2"/>
    </row>
    <row r="1296" spans="1:11" ht="30" customHeight="1" x14ac:dyDescent="0.25">
      <c r="A1296" s="2">
        <v>1</v>
      </c>
      <c r="B1296" s="161" t="s">
        <v>1849</v>
      </c>
      <c r="C1296" s="109" t="s">
        <v>1850</v>
      </c>
      <c r="D1296" s="10" t="s">
        <v>1469</v>
      </c>
      <c r="E1296" s="10" t="s">
        <v>23</v>
      </c>
      <c r="F1296" s="107">
        <v>648</v>
      </c>
      <c r="G1296" s="108">
        <v>0</v>
      </c>
      <c r="H1296" s="107">
        <v>648</v>
      </c>
      <c r="I1296" s="108">
        <v>0</v>
      </c>
      <c r="J1296" s="18">
        <v>0</v>
      </c>
      <c r="K1296" s="115">
        <v>46143</v>
      </c>
    </row>
    <row r="1297" spans="1:11" ht="30" customHeight="1" x14ac:dyDescent="0.25">
      <c r="A1297" s="2">
        <v>2</v>
      </c>
      <c r="B1297" s="162"/>
      <c r="C1297" s="109" t="s">
        <v>1851</v>
      </c>
      <c r="D1297" s="10" t="s">
        <v>1458</v>
      </c>
      <c r="E1297" s="10" t="s">
        <v>23</v>
      </c>
      <c r="F1297" s="107">
        <v>3382.77</v>
      </c>
      <c r="G1297" s="108">
        <v>0</v>
      </c>
      <c r="H1297" s="107">
        <v>3382.77</v>
      </c>
      <c r="I1297" s="108">
        <v>0</v>
      </c>
      <c r="J1297" s="18">
        <v>0</v>
      </c>
      <c r="K1297" s="101" t="s">
        <v>1084</v>
      </c>
    </row>
    <row r="1298" spans="1:11" ht="30" customHeight="1" x14ac:dyDescent="0.25">
      <c r="A1298" s="2">
        <v>3</v>
      </c>
      <c r="B1298" s="162"/>
      <c r="C1298" s="109" t="s">
        <v>1852</v>
      </c>
      <c r="D1298" s="10" t="s">
        <v>1436</v>
      </c>
      <c r="E1298" s="10" t="s">
        <v>23</v>
      </c>
      <c r="F1298" s="107">
        <v>1150.95</v>
      </c>
      <c r="G1298" s="108">
        <v>0</v>
      </c>
      <c r="H1298" s="107">
        <v>1150.95</v>
      </c>
      <c r="I1298" s="108">
        <v>0</v>
      </c>
      <c r="J1298" s="18">
        <v>0</v>
      </c>
      <c r="K1298" s="101" t="s">
        <v>1084</v>
      </c>
    </row>
    <row r="1299" spans="1:11" ht="30" customHeight="1" x14ac:dyDescent="0.25">
      <c r="A1299" s="2">
        <v>4</v>
      </c>
      <c r="B1299" s="162"/>
      <c r="C1299" s="109" t="s">
        <v>1853</v>
      </c>
      <c r="D1299" s="10" t="s">
        <v>1442</v>
      </c>
      <c r="E1299" s="10" t="s">
        <v>23</v>
      </c>
      <c r="F1299" s="107">
        <v>631</v>
      </c>
      <c r="G1299" s="108">
        <v>0</v>
      </c>
      <c r="H1299" s="107">
        <v>631</v>
      </c>
      <c r="I1299" s="108">
        <v>0</v>
      </c>
      <c r="J1299" s="18">
        <v>0</v>
      </c>
      <c r="K1299" s="101" t="s">
        <v>1084</v>
      </c>
    </row>
    <row r="1300" spans="1:11" ht="30" customHeight="1" x14ac:dyDescent="0.25">
      <c r="A1300" s="2">
        <v>5</v>
      </c>
      <c r="B1300" s="162"/>
      <c r="C1300" s="109" t="s">
        <v>1854</v>
      </c>
      <c r="D1300" s="10" t="s">
        <v>1439</v>
      </c>
      <c r="E1300" s="10" t="s">
        <v>23</v>
      </c>
      <c r="F1300" s="107">
        <v>521.94000000000005</v>
      </c>
      <c r="G1300" s="108">
        <v>0</v>
      </c>
      <c r="H1300" s="107">
        <v>521.94000000000005</v>
      </c>
      <c r="I1300" s="108">
        <v>0</v>
      </c>
      <c r="J1300" s="18">
        <v>0</v>
      </c>
      <c r="K1300" s="101" t="s">
        <v>1084</v>
      </c>
    </row>
    <row r="1301" spans="1:11" ht="30" customHeight="1" x14ac:dyDescent="0.25">
      <c r="A1301" s="2">
        <v>6</v>
      </c>
      <c r="B1301" s="162"/>
      <c r="C1301" s="109" t="s">
        <v>1855</v>
      </c>
      <c r="D1301" s="10" t="s">
        <v>1471</v>
      </c>
      <c r="E1301" s="10" t="s">
        <v>23</v>
      </c>
      <c r="F1301" s="107">
        <v>214.99529999999999</v>
      </c>
      <c r="G1301" s="108">
        <v>0</v>
      </c>
      <c r="H1301" s="107">
        <v>214.99529999999999</v>
      </c>
      <c r="I1301" s="108">
        <v>0</v>
      </c>
      <c r="J1301" s="18">
        <v>0</v>
      </c>
      <c r="K1301" s="101" t="s">
        <v>1084</v>
      </c>
    </row>
    <row r="1302" spans="1:11" ht="30" customHeight="1" x14ac:dyDescent="0.25">
      <c r="A1302" s="2">
        <v>7</v>
      </c>
      <c r="B1302" s="162"/>
      <c r="C1302" s="109" t="s">
        <v>1856</v>
      </c>
      <c r="D1302" s="10" t="s">
        <v>1857</v>
      </c>
      <c r="E1302" s="118" t="s">
        <v>36</v>
      </c>
      <c r="F1302" s="107">
        <v>863.51400000000001</v>
      </c>
      <c r="G1302" s="108">
        <v>0</v>
      </c>
      <c r="H1302" s="107">
        <v>863.51400000000001</v>
      </c>
      <c r="I1302" s="108">
        <v>0</v>
      </c>
      <c r="J1302" s="18">
        <v>0</v>
      </c>
      <c r="K1302" s="115">
        <v>46296</v>
      </c>
    </row>
    <row r="1303" spans="1:11" ht="30" customHeight="1" x14ac:dyDescent="0.25">
      <c r="A1303" s="2">
        <v>8</v>
      </c>
      <c r="B1303" s="162"/>
      <c r="C1303" s="109" t="s">
        <v>1858</v>
      </c>
      <c r="D1303" s="10" t="s">
        <v>1620</v>
      </c>
      <c r="E1303" s="10" t="s">
        <v>23</v>
      </c>
      <c r="F1303" s="107">
        <v>1663.096</v>
      </c>
      <c r="G1303" s="108">
        <v>0</v>
      </c>
      <c r="H1303" s="107">
        <v>1663.096</v>
      </c>
      <c r="I1303" s="108">
        <v>0</v>
      </c>
      <c r="J1303" s="18">
        <v>0</v>
      </c>
      <c r="K1303" s="101" t="s">
        <v>1084</v>
      </c>
    </row>
    <row r="1304" spans="1:11" ht="30" customHeight="1" x14ac:dyDescent="0.25">
      <c r="A1304" s="2">
        <v>9</v>
      </c>
      <c r="B1304" s="163"/>
      <c r="C1304" s="109" t="s">
        <v>1859</v>
      </c>
      <c r="D1304" s="10" t="s">
        <v>1461</v>
      </c>
      <c r="E1304" s="10" t="s">
        <v>23</v>
      </c>
      <c r="F1304" s="107">
        <v>3754.2</v>
      </c>
      <c r="G1304" s="108">
        <v>0</v>
      </c>
      <c r="H1304" s="107">
        <v>3754.2</v>
      </c>
      <c r="I1304" s="108">
        <v>0</v>
      </c>
      <c r="J1304" s="18">
        <v>0</v>
      </c>
      <c r="K1304" s="101" t="s">
        <v>1084</v>
      </c>
    </row>
    <row r="1305" spans="1:11" ht="28.9" customHeight="1" x14ac:dyDescent="0.25">
      <c r="A1305" s="160" t="s">
        <v>1443</v>
      </c>
      <c r="B1305" s="160"/>
      <c r="C1305" s="160"/>
      <c r="D1305" s="20"/>
      <c r="E1305" s="55"/>
      <c r="F1305" s="96">
        <f>SUM(F1296:F1302)</f>
        <v>7413.1692999999996</v>
      </c>
      <c r="G1305" s="97">
        <f>SUM(G1296:G1302)</f>
        <v>0</v>
      </c>
      <c r="H1305" s="96">
        <f>SUM(H1296:H1302)</f>
        <v>7413.1692999999996</v>
      </c>
      <c r="I1305" s="97">
        <f>SUM(I1296:I1302)</f>
        <v>0</v>
      </c>
      <c r="J1305" s="18">
        <v>0</v>
      </c>
      <c r="K1305" s="96"/>
    </row>
    <row r="1306" spans="1:11" ht="29.45" customHeight="1" x14ac:dyDescent="0.25">
      <c r="A1306" s="100">
        <v>1</v>
      </c>
      <c r="B1306" s="161" t="s">
        <v>1849</v>
      </c>
      <c r="C1306" s="92" t="s">
        <v>1860</v>
      </c>
      <c r="D1306" s="10" t="s">
        <v>1861</v>
      </c>
      <c r="E1306" s="10" t="s">
        <v>23</v>
      </c>
      <c r="F1306" s="17">
        <v>3350.9450000000002</v>
      </c>
      <c r="G1306" s="18">
        <v>0</v>
      </c>
      <c r="H1306" s="17">
        <v>3350.9450000000002</v>
      </c>
      <c r="I1306" s="79">
        <v>0</v>
      </c>
      <c r="J1306" s="18">
        <v>0</v>
      </c>
      <c r="K1306" s="114" t="s">
        <v>73</v>
      </c>
    </row>
    <row r="1307" spans="1:11" ht="29.45" customHeight="1" x14ac:dyDescent="0.25">
      <c r="A1307" s="100">
        <v>2</v>
      </c>
      <c r="B1307" s="162"/>
      <c r="C1307" s="92" t="s">
        <v>1862</v>
      </c>
      <c r="D1307" s="10" t="s">
        <v>1857</v>
      </c>
      <c r="E1307" s="10" t="s">
        <v>23</v>
      </c>
      <c r="F1307" s="17">
        <v>863.51400000000001</v>
      </c>
      <c r="G1307" s="18">
        <v>0</v>
      </c>
      <c r="H1307" s="18">
        <v>0</v>
      </c>
      <c r="I1307" s="17">
        <v>863.51400000000001</v>
      </c>
      <c r="J1307" s="18">
        <v>0</v>
      </c>
      <c r="K1307" s="115">
        <v>46661</v>
      </c>
    </row>
    <row r="1308" spans="1:11" ht="29.45" customHeight="1" x14ac:dyDescent="0.25">
      <c r="A1308" s="2">
        <v>3</v>
      </c>
      <c r="B1308" s="163"/>
      <c r="C1308" s="92" t="s">
        <v>1863</v>
      </c>
      <c r="D1308" s="10" t="s">
        <v>132</v>
      </c>
      <c r="E1308" s="10" t="s">
        <v>23</v>
      </c>
      <c r="F1308" s="17">
        <v>5401.6541999999999</v>
      </c>
      <c r="G1308" s="18">
        <v>0</v>
      </c>
      <c r="H1308" s="18">
        <v>0</v>
      </c>
      <c r="I1308" s="17">
        <v>5401.6541999999999</v>
      </c>
      <c r="J1308" s="18">
        <v>0</v>
      </c>
      <c r="K1308" s="115">
        <v>46419</v>
      </c>
    </row>
    <row r="1309" spans="1:11" ht="32.450000000000003" customHeight="1" x14ac:dyDescent="0.25">
      <c r="A1309" s="160" t="s">
        <v>20</v>
      </c>
      <c r="B1309" s="160"/>
      <c r="C1309" s="160"/>
      <c r="D1309" s="110"/>
      <c r="E1309" s="55"/>
      <c r="F1309" s="96">
        <f>SUM(F1306:F1308)</f>
        <v>9616.1131999999998</v>
      </c>
      <c r="G1309" s="97">
        <f>SUM(G1306:G1308)</f>
        <v>0</v>
      </c>
      <c r="H1309" s="96">
        <f>SUM(H1306:H1308)</f>
        <v>3350.9450000000002</v>
      </c>
      <c r="I1309" s="96">
        <f>SUM(I1306:I1308)</f>
        <v>6265.1682000000001</v>
      </c>
      <c r="J1309" s="18">
        <v>0</v>
      </c>
      <c r="K1309" s="96"/>
    </row>
    <row r="1310" spans="1:11" ht="90" x14ac:dyDescent="0.25">
      <c r="A1310" s="2">
        <v>1</v>
      </c>
      <c r="B1310" s="2" t="s">
        <v>1849</v>
      </c>
      <c r="C1310" s="92" t="s">
        <v>1864</v>
      </c>
      <c r="D1310" s="10" t="s">
        <v>1861</v>
      </c>
      <c r="E1310" s="118" t="s">
        <v>36</v>
      </c>
      <c r="F1310" s="17">
        <v>3350.9450000000002</v>
      </c>
      <c r="G1310" s="18">
        <v>0</v>
      </c>
      <c r="H1310" s="18">
        <v>0</v>
      </c>
      <c r="I1310" s="17">
        <v>3350.9450000000002</v>
      </c>
      <c r="J1310" s="18">
        <v>0</v>
      </c>
      <c r="K1310" s="114" t="s">
        <v>115</v>
      </c>
    </row>
    <row r="1311" spans="1:11" ht="33.6" customHeight="1" x14ac:dyDescent="0.25">
      <c r="A1311" s="160" t="s">
        <v>21</v>
      </c>
      <c r="B1311" s="160"/>
      <c r="C1311" s="160"/>
      <c r="D1311" s="110"/>
      <c r="E1311" s="117"/>
      <c r="F1311" s="96">
        <f>SUM(F1310)</f>
        <v>3350.9450000000002</v>
      </c>
      <c r="G1311" s="97">
        <f t="shared" ref="G1311:I1311" si="155">SUM(G1310)</f>
        <v>0</v>
      </c>
      <c r="H1311" s="97">
        <f t="shared" si="155"/>
        <v>0</v>
      </c>
      <c r="I1311" s="96">
        <f t="shared" si="155"/>
        <v>3350.9450000000002</v>
      </c>
      <c r="J1311" s="18">
        <v>0</v>
      </c>
      <c r="K1311" s="20"/>
    </row>
    <row r="1312" spans="1:11" ht="30" customHeight="1" x14ac:dyDescent="0.25">
      <c r="A1312" s="2">
        <v>1</v>
      </c>
      <c r="B1312" s="161" t="s">
        <v>1865</v>
      </c>
      <c r="C1312" s="92" t="s">
        <v>1866</v>
      </c>
      <c r="D1312" s="10" t="s">
        <v>1436</v>
      </c>
      <c r="E1312" s="10" t="s">
        <v>23</v>
      </c>
      <c r="F1312" s="17">
        <v>1206.7460000000001</v>
      </c>
      <c r="G1312" s="18">
        <v>0</v>
      </c>
      <c r="H1312" s="17">
        <v>1206.7460000000001</v>
      </c>
      <c r="I1312" s="18">
        <v>0</v>
      </c>
      <c r="J1312" s="18">
        <v>0</v>
      </c>
      <c r="K1312" s="101" t="s">
        <v>1084</v>
      </c>
    </row>
    <row r="1313" spans="1:11" ht="30" customHeight="1" x14ac:dyDescent="0.25">
      <c r="A1313" s="2">
        <v>2</v>
      </c>
      <c r="B1313" s="162"/>
      <c r="C1313" s="92" t="s">
        <v>1867</v>
      </c>
      <c r="D1313" s="10" t="s">
        <v>1434</v>
      </c>
      <c r="E1313" s="10" t="s">
        <v>23</v>
      </c>
      <c r="F1313" s="17">
        <v>1775.84</v>
      </c>
      <c r="G1313" s="18">
        <v>0</v>
      </c>
      <c r="H1313" s="17">
        <v>1775.84</v>
      </c>
      <c r="I1313" s="18">
        <v>0</v>
      </c>
      <c r="J1313" s="18">
        <v>0</v>
      </c>
      <c r="K1313" s="101" t="s">
        <v>1084</v>
      </c>
    </row>
    <row r="1314" spans="1:11" ht="30" customHeight="1" x14ac:dyDescent="0.25">
      <c r="A1314" s="2">
        <v>3</v>
      </c>
      <c r="B1314" s="162"/>
      <c r="C1314" s="92" t="s">
        <v>1868</v>
      </c>
      <c r="D1314" s="10" t="s">
        <v>1434</v>
      </c>
      <c r="E1314" s="10" t="s">
        <v>23</v>
      </c>
      <c r="F1314" s="17">
        <v>3498.88</v>
      </c>
      <c r="G1314" s="18">
        <v>0</v>
      </c>
      <c r="H1314" s="17">
        <v>3498.88</v>
      </c>
      <c r="I1314" s="18">
        <v>0</v>
      </c>
      <c r="J1314" s="18">
        <v>0</v>
      </c>
      <c r="K1314" s="101" t="s">
        <v>1084</v>
      </c>
    </row>
    <row r="1315" spans="1:11" ht="30" customHeight="1" x14ac:dyDescent="0.25">
      <c r="A1315" s="2">
        <v>4</v>
      </c>
      <c r="B1315" s="162"/>
      <c r="C1315" s="92" t="s">
        <v>1869</v>
      </c>
      <c r="D1315" s="10" t="s">
        <v>1486</v>
      </c>
      <c r="E1315" s="10" t="s">
        <v>23</v>
      </c>
      <c r="F1315" s="17">
        <v>3204.3</v>
      </c>
      <c r="G1315" s="18">
        <v>0</v>
      </c>
      <c r="H1315" s="17">
        <v>3204.3</v>
      </c>
      <c r="I1315" s="18">
        <v>0</v>
      </c>
      <c r="J1315" s="18">
        <v>0</v>
      </c>
      <c r="K1315" s="101" t="s">
        <v>1084</v>
      </c>
    </row>
    <row r="1316" spans="1:11" ht="30" customHeight="1" x14ac:dyDescent="0.25">
      <c r="A1316" s="2">
        <v>5</v>
      </c>
      <c r="B1316" s="162"/>
      <c r="C1316" s="92" t="s">
        <v>1870</v>
      </c>
      <c r="D1316" s="10" t="s">
        <v>1439</v>
      </c>
      <c r="E1316" s="10" t="s">
        <v>23</v>
      </c>
      <c r="F1316" s="17">
        <v>433.95</v>
      </c>
      <c r="G1316" s="18">
        <v>0</v>
      </c>
      <c r="H1316" s="17">
        <v>433.95</v>
      </c>
      <c r="I1316" s="18">
        <v>0</v>
      </c>
      <c r="J1316" s="18">
        <v>0</v>
      </c>
      <c r="K1316" s="101" t="s">
        <v>1084</v>
      </c>
    </row>
    <row r="1317" spans="1:11" ht="30" customHeight="1" x14ac:dyDescent="0.25">
      <c r="A1317" s="2">
        <v>6</v>
      </c>
      <c r="B1317" s="162"/>
      <c r="C1317" s="92" t="s">
        <v>1871</v>
      </c>
      <c r="D1317" s="10" t="s">
        <v>1434</v>
      </c>
      <c r="E1317" s="10" t="s">
        <v>23</v>
      </c>
      <c r="F1317" s="17">
        <v>5901.067</v>
      </c>
      <c r="G1317" s="18">
        <v>0</v>
      </c>
      <c r="H1317" s="17">
        <v>5901.067</v>
      </c>
      <c r="I1317" s="18">
        <v>0</v>
      </c>
      <c r="J1317" s="18">
        <v>0</v>
      </c>
      <c r="K1317" s="101" t="s">
        <v>418</v>
      </c>
    </row>
    <row r="1318" spans="1:11" ht="30" customHeight="1" x14ac:dyDescent="0.25">
      <c r="A1318" s="2">
        <v>7</v>
      </c>
      <c r="B1318" s="163"/>
      <c r="C1318" s="92" t="s">
        <v>1872</v>
      </c>
      <c r="D1318" s="10" t="s">
        <v>1434</v>
      </c>
      <c r="E1318" s="10" t="s">
        <v>23</v>
      </c>
      <c r="F1318" s="17">
        <v>18020.782999999999</v>
      </c>
      <c r="G1318" s="18">
        <v>0</v>
      </c>
      <c r="H1318" s="18">
        <v>0</v>
      </c>
      <c r="I1318" s="17">
        <v>18020.782999999999</v>
      </c>
      <c r="J1318" s="18">
        <v>0</v>
      </c>
      <c r="K1318" s="101" t="s">
        <v>418</v>
      </c>
    </row>
    <row r="1319" spans="1:11" ht="32.450000000000003" customHeight="1" x14ac:dyDescent="0.25">
      <c r="A1319" s="160" t="s">
        <v>1443</v>
      </c>
      <c r="B1319" s="160"/>
      <c r="C1319" s="160"/>
      <c r="D1319" s="110"/>
      <c r="E1319" s="55"/>
      <c r="F1319" s="96">
        <f>SUM(F1312:F1318)</f>
        <v>34041.565999999999</v>
      </c>
      <c r="G1319" s="97">
        <f t="shared" ref="G1319:I1319" si="156">SUM(G1312:G1318)</f>
        <v>0</v>
      </c>
      <c r="H1319" s="96">
        <f t="shared" si="156"/>
        <v>16020.782999999999</v>
      </c>
      <c r="I1319" s="96">
        <f t="shared" si="156"/>
        <v>18020.782999999999</v>
      </c>
      <c r="J1319" s="18">
        <v>0</v>
      </c>
      <c r="K1319" s="96"/>
    </row>
    <row r="1320" spans="1:11" ht="31.9" customHeight="1" x14ac:dyDescent="0.25">
      <c r="A1320" s="100">
        <v>1</v>
      </c>
      <c r="B1320" s="161" t="s">
        <v>1873</v>
      </c>
      <c r="C1320" s="92" t="s">
        <v>1874</v>
      </c>
      <c r="D1320" s="10" t="s">
        <v>1458</v>
      </c>
      <c r="E1320" s="10" t="s">
        <v>23</v>
      </c>
      <c r="F1320" s="17">
        <v>1856.12</v>
      </c>
      <c r="G1320" s="18">
        <v>0</v>
      </c>
      <c r="H1320" s="17">
        <v>1856.12</v>
      </c>
      <c r="I1320" s="18">
        <v>0</v>
      </c>
      <c r="J1320" s="18">
        <v>0</v>
      </c>
      <c r="K1320" s="101" t="s">
        <v>418</v>
      </c>
    </row>
    <row r="1321" spans="1:11" ht="31.9" customHeight="1" x14ac:dyDescent="0.25">
      <c r="A1321" s="100">
        <v>2</v>
      </c>
      <c r="B1321" s="162"/>
      <c r="C1321" s="92" t="s">
        <v>1875</v>
      </c>
      <c r="D1321" s="10" t="s">
        <v>1554</v>
      </c>
      <c r="E1321" s="10" t="s">
        <v>23</v>
      </c>
      <c r="F1321" s="17">
        <v>1289.96</v>
      </c>
      <c r="G1321" s="18">
        <v>0</v>
      </c>
      <c r="H1321" s="17">
        <v>1289.96</v>
      </c>
      <c r="I1321" s="18">
        <v>0</v>
      </c>
      <c r="J1321" s="18">
        <v>0</v>
      </c>
      <c r="K1321" s="101" t="s">
        <v>418</v>
      </c>
    </row>
    <row r="1322" spans="1:11" ht="31.9" customHeight="1" x14ac:dyDescent="0.25">
      <c r="A1322" s="100">
        <v>3</v>
      </c>
      <c r="B1322" s="162"/>
      <c r="C1322" s="92" t="s">
        <v>1876</v>
      </c>
      <c r="D1322" s="10" t="s">
        <v>1446</v>
      </c>
      <c r="E1322" s="10" t="s">
        <v>23</v>
      </c>
      <c r="F1322" s="17">
        <v>1274.1600000000001</v>
      </c>
      <c r="G1322" s="18">
        <v>0</v>
      </c>
      <c r="H1322" s="17">
        <v>1274.1600000000001</v>
      </c>
      <c r="I1322" s="18">
        <v>0</v>
      </c>
      <c r="J1322" s="18">
        <v>0</v>
      </c>
      <c r="K1322" s="101" t="s">
        <v>418</v>
      </c>
    </row>
    <row r="1323" spans="1:11" ht="31.9" customHeight="1" x14ac:dyDescent="0.25">
      <c r="A1323" s="100">
        <v>4</v>
      </c>
      <c r="B1323" s="162"/>
      <c r="C1323" s="92" t="s">
        <v>1877</v>
      </c>
      <c r="D1323" s="10" t="s">
        <v>1434</v>
      </c>
      <c r="E1323" s="10" t="s">
        <v>23</v>
      </c>
      <c r="F1323" s="17">
        <v>894.77599999999995</v>
      </c>
      <c r="G1323" s="18">
        <v>0</v>
      </c>
      <c r="H1323" s="17">
        <v>894.77599999999995</v>
      </c>
      <c r="I1323" s="18">
        <v>0</v>
      </c>
      <c r="J1323" s="18">
        <v>0</v>
      </c>
      <c r="K1323" s="101" t="s">
        <v>418</v>
      </c>
    </row>
    <row r="1324" spans="1:11" ht="31.9" customHeight="1" x14ac:dyDescent="0.25">
      <c r="A1324" s="100">
        <v>5</v>
      </c>
      <c r="B1324" s="162"/>
      <c r="C1324" s="92" t="s">
        <v>1878</v>
      </c>
      <c r="D1324" s="10" t="s">
        <v>1486</v>
      </c>
      <c r="E1324" s="10" t="s">
        <v>23</v>
      </c>
      <c r="F1324" s="17">
        <v>2943.25</v>
      </c>
      <c r="G1324" s="18">
        <v>0</v>
      </c>
      <c r="H1324" s="17">
        <v>2943.25</v>
      </c>
      <c r="I1324" s="18">
        <v>0</v>
      </c>
      <c r="J1324" s="18">
        <v>0</v>
      </c>
      <c r="K1324" s="101" t="s">
        <v>418</v>
      </c>
    </row>
    <row r="1325" spans="1:11" ht="31.9" customHeight="1" x14ac:dyDescent="0.25">
      <c r="A1325" s="100">
        <v>6</v>
      </c>
      <c r="B1325" s="163"/>
      <c r="C1325" s="92" t="s">
        <v>1879</v>
      </c>
      <c r="D1325" s="10" t="s">
        <v>1439</v>
      </c>
      <c r="E1325" s="10" t="s">
        <v>23</v>
      </c>
      <c r="F1325" s="17">
        <v>299.25</v>
      </c>
      <c r="G1325" s="18">
        <v>0</v>
      </c>
      <c r="H1325" s="17">
        <v>299.25</v>
      </c>
      <c r="I1325" s="18">
        <v>0</v>
      </c>
      <c r="J1325" s="18">
        <v>0</v>
      </c>
      <c r="K1325" s="101" t="s">
        <v>418</v>
      </c>
    </row>
    <row r="1326" spans="1:11" ht="27.6" customHeight="1" x14ac:dyDescent="0.25">
      <c r="A1326" s="160" t="s">
        <v>1443</v>
      </c>
      <c r="B1326" s="160"/>
      <c r="C1326" s="160"/>
      <c r="D1326" s="110"/>
      <c r="E1326" s="110"/>
      <c r="F1326" s="96">
        <f>SUM(F1320:F1325)</f>
        <v>8557.5159999999996</v>
      </c>
      <c r="G1326" s="97">
        <f>SUM(G1320:G1325)</f>
        <v>0</v>
      </c>
      <c r="H1326" s="96">
        <f>SUM(H1320:H1325)</f>
        <v>8557.5159999999996</v>
      </c>
      <c r="I1326" s="97">
        <f>SUM(I1320:I1325)</f>
        <v>0</v>
      </c>
      <c r="J1326" s="18">
        <v>0</v>
      </c>
      <c r="K1326" s="119"/>
    </row>
    <row r="1327" spans="1:11" ht="27.6" customHeight="1" x14ac:dyDescent="0.25">
      <c r="A1327" s="100">
        <v>1</v>
      </c>
      <c r="B1327" s="161" t="s">
        <v>1873</v>
      </c>
      <c r="C1327" s="92" t="s">
        <v>1880</v>
      </c>
      <c r="D1327" s="10" t="s">
        <v>1428</v>
      </c>
      <c r="E1327" s="10" t="s">
        <v>23</v>
      </c>
      <c r="F1327" s="17">
        <v>1561.6</v>
      </c>
      <c r="G1327" s="18">
        <v>0</v>
      </c>
      <c r="H1327" s="17">
        <v>1561.6</v>
      </c>
      <c r="I1327" s="18">
        <v>0</v>
      </c>
      <c r="J1327" s="18">
        <v>0</v>
      </c>
      <c r="K1327" s="101" t="s">
        <v>65</v>
      </c>
    </row>
    <row r="1328" spans="1:11" ht="27.6" customHeight="1" x14ac:dyDescent="0.25">
      <c r="A1328" s="100">
        <v>2</v>
      </c>
      <c r="B1328" s="162"/>
      <c r="C1328" s="92" t="s">
        <v>1881</v>
      </c>
      <c r="D1328" s="10" t="s">
        <v>1542</v>
      </c>
      <c r="E1328" s="10" t="s">
        <v>23</v>
      </c>
      <c r="F1328" s="17">
        <v>6480.7429499999998</v>
      </c>
      <c r="G1328" s="18">
        <v>0</v>
      </c>
      <c r="H1328" s="17">
        <v>6480.7429499999998</v>
      </c>
      <c r="I1328" s="18">
        <v>0</v>
      </c>
      <c r="J1328" s="18">
        <v>0</v>
      </c>
      <c r="K1328" s="101" t="s">
        <v>65</v>
      </c>
    </row>
    <row r="1329" spans="1:11" ht="27.6" customHeight="1" x14ac:dyDescent="0.25">
      <c r="A1329" s="2">
        <v>3</v>
      </c>
      <c r="B1329" s="163"/>
      <c r="C1329" s="10" t="s">
        <v>1882</v>
      </c>
      <c r="D1329" s="10" t="s">
        <v>1434</v>
      </c>
      <c r="E1329" s="10" t="s">
        <v>23</v>
      </c>
      <c r="F1329" s="17">
        <v>2850.7640000000001</v>
      </c>
      <c r="G1329" s="18">
        <v>0</v>
      </c>
      <c r="H1329" s="17">
        <v>2850.7640000000001</v>
      </c>
      <c r="I1329" s="18">
        <v>0</v>
      </c>
      <c r="J1329" s="18">
        <v>0</v>
      </c>
      <c r="K1329" s="115">
        <v>46419</v>
      </c>
    </row>
    <row r="1330" spans="1:11" ht="29.45" customHeight="1" x14ac:dyDescent="0.25">
      <c r="A1330" s="160" t="s">
        <v>20</v>
      </c>
      <c r="B1330" s="160"/>
      <c r="C1330" s="160"/>
      <c r="D1330" s="110"/>
      <c r="E1330" s="55"/>
      <c r="F1330" s="96">
        <f>SUM(F1327:F1329)</f>
        <v>10893.106950000001</v>
      </c>
      <c r="G1330" s="97">
        <f t="shared" ref="G1330:I1330" si="157">SUM(G1327:G1329)</f>
        <v>0</v>
      </c>
      <c r="H1330" s="96">
        <f t="shared" si="157"/>
        <v>10893.106950000001</v>
      </c>
      <c r="I1330" s="97">
        <f t="shared" si="157"/>
        <v>0</v>
      </c>
      <c r="J1330" s="18">
        <v>0</v>
      </c>
      <c r="K1330" s="96"/>
    </row>
    <row r="1331" spans="1:11" ht="29.45" customHeight="1" x14ac:dyDescent="0.25">
      <c r="A1331" s="100">
        <v>1</v>
      </c>
      <c r="B1331" s="161" t="s">
        <v>1873</v>
      </c>
      <c r="C1331" s="92" t="s">
        <v>1883</v>
      </c>
      <c r="D1331" s="10" t="s">
        <v>1428</v>
      </c>
      <c r="E1331" s="10" t="s">
        <v>23</v>
      </c>
      <c r="F1331" s="17">
        <v>1561.6</v>
      </c>
      <c r="G1331" s="18">
        <v>0</v>
      </c>
      <c r="H1331" s="18">
        <v>0</v>
      </c>
      <c r="I1331" s="17">
        <v>1561.6</v>
      </c>
      <c r="J1331" s="18">
        <v>0</v>
      </c>
      <c r="K1331" s="101" t="s">
        <v>109</v>
      </c>
    </row>
    <row r="1332" spans="1:11" ht="29.45" customHeight="1" x14ac:dyDescent="0.25">
      <c r="A1332" s="100">
        <v>2</v>
      </c>
      <c r="B1332" s="162"/>
      <c r="C1332" s="92" t="s">
        <v>1884</v>
      </c>
      <c r="D1332" s="10" t="s">
        <v>1542</v>
      </c>
      <c r="E1332" s="10" t="s">
        <v>23</v>
      </c>
      <c r="F1332" s="17">
        <v>6480.7429499999998</v>
      </c>
      <c r="G1332" s="18">
        <v>0</v>
      </c>
      <c r="H1332" s="18">
        <v>0</v>
      </c>
      <c r="I1332" s="17">
        <v>6480.7429499999998</v>
      </c>
      <c r="J1332" s="18">
        <v>0</v>
      </c>
      <c r="K1332" s="101" t="s">
        <v>109</v>
      </c>
    </row>
    <row r="1333" spans="1:11" ht="29.45" customHeight="1" x14ac:dyDescent="0.25">
      <c r="A1333" s="100">
        <v>3</v>
      </c>
      <c r="B1333" s="162"/>
      <c r="C1333" s="92" t="s">
        <v>1885</v>
      </c>
      <c r="D1333" s="10" t="s">
        <v>1886</v>
      </c>
      <c r="E1333" s="10" t="s">
        <v>23</v>
      </c>
      <c r="F1333" s="17">
        <v>4195.0526399999999</v>
      </c>
      <c r="G1333" s="18">
        <v>0</v>
      </c>
      <c r="H1333" s="18">
        <v>0</v>
      </c>
      <c r="I1333" s="17">
        <v>4195.0526399999999</v>
      </c>
      <c r="J1333" s="18">
        <v>0</v>
      </c>
      <c r="K1333" s="101" t="s">
        <v>109</v>
      </c>
    </row>
    <row r="1334" spans="1:11" ht="29.45" customHeight="1" x14ac:dyDescent="0.25">
      <c r="A1334" s="100">
        <v>4</v>
      </c>
      <c r="B1334" s="163"/>
      <c r="C1334" s="92" t="s">
        <v>1887</v>
      </c>
      <c r="D1334" s="10" t="s">
        <v>1434</v>
      </c>
      <c r="E1334" s="10" t="s">
        <v>23</v>
      </c>
      <c r="F1334" s="17">
        <v>14000</v>
      </c>
      <c r="G1334" s="18">
        <v>0</v>
      </c>
      <c r="H1334" s="18">
        <v>0</v>
      </c>
      <c r="I1334" s="17">
        <v>14000</v>
      </c>
      <c r="J1334" s="18">
        <v>0</v>
      </c>
      <c r="K1334" s="101" t="s">
        <v>109</v>
      </c>
    </row>
    <row r="1335" spans="1:11" ht="30.6" customHeight="1" x14ac:dyDescent="0.25">
      <c r="A1335" s="160" t="s">
        <v>21</v>
      </c>
      <c r="B1335" s="160"/>
      <c r="C1335" s="160"/>
      <c r="D1335" s="110"/>
      <c r="E1335" s="117"/>
      <c r="F1335" s="96">
        <f>SUM(F1331:F1334)</f>
        <v>26237.39559</v>
      </c>
      <c r="G1335" s="97">
        <f t="shared" ref="G1335:I1335" si="158">SUM(G1331:G1334)</f>
        <v>0</v>
      </c>
      <c r="H1335" s="97">
        <f t="shared" si="158"/>
        <v>0</v>
      </c>
      <c r="I1335" s="96">
        <f t="shared" si="158"/>
        <v>26237.39559</v>
      </c>
      <c r="J1335" s="18">
        <v>0</v>
      </c>
      <c r="K1335" s="17"/>
    </row>
    <row r="1336" spans="1:11" ht="30.6" customHeight="1" x14ac:dyDescent="0.25">
      <c r="A1336" s="100">
        <v>1</v>
      </c>
      <c r="B1336" s="161" t="s">
        <v>1888</v>
      </c>
      <c r="C1336" s="92" t="s">
        <v>1889</v>
      </c>
      <c r="D1336" s="10" t="s">
        <v>1428</v>
      </c>
      <c r="E1336" s="10" t="s">
        <v>23</v>
      </c>
      <c r="F1336" s="107">
        <v>1375.01215</v>
      </c>
      <c r="G1336" s="108">
        <v>0</v>
      </c>
      <c r="H1336" s="107">
        <v>1375.01215</v>
      </c>
      <c r="I1336" s="108">
        <v>0</v>
      </c>
      <c r="J1336" s="18">
        <v>0</v>
      </c>
      <c r="K1336" s="101" t="s">
        <v>65</v>
      </c>
    </row>
    <row r="1337" spans="1:11" ht="45.6" customHeight="1" x14ac:dyDescent="0.25">
      <c r="A1337" s="100">
        <v>2</v>
      </c>
      <c r="B1337" s="162"/>
      <c r="C1337" s="92" t="s">
        <v>1890</v>
      </c>
      <c r="D1337" s="10" t="s">
        <v>1891</v>
      </c>
      <c r="E1337" s="10" t="s">
        <v>23</v>
      </c>
      <c r="F1337" s="107">
        <v>920.57</v>
      </c>
      <c r="G1337" s="108">
        <v>0</v>
      </c>
      <c r="H1337" s="107">
        <v>920.57</v>
      </c>
      <c r="I1337" s="108">
        <v>0</v>
      </c>
      <c r="J1337" s="18">
        <v>0</v>
      </c>
      <c r="K1337" s="101" t="s">
        <v>284</v>
      </c>
    </row>
    <row r="1338" spans="1:11" ht="27" customHeight="1" x14ac:dyDescent="0.25">
      <c r="A1338" s="100">
        <v>3</v>
      </c>
      <c r="B1338" s="163"/>
      <c r="C1338" s="92" t="s">
        <v>1892</v>
      </c>
      <c r="D1338" s="10" t="s">
        <v>729</v>
      </c>
      <c r="E1338" s="10" t="s">
        <v>23</v>
      </c>
      <c r="F1338" s="107">
        <v>760.43227000000002</v>
      </c>
      <c r="G1338" s="108">
        <v>0</v>
      </c>
      <c r="H1338" s="107">
        <v>760.43227000000002</v>
      </c>
      <c r="I1338" s="108">
        <v>0</v>
      </c>
      <c r="J1338" s="18">
        <v>0</v>
      </c>
      <c r="K1338" s="115">
        <v>46388</v>
      </c>
    </row>
    <row r="1339" spans="1:11" ht="31.9" customHeight="1" x14ac:dyDescent="0.25">
      <c r="A1339" s="160" t="s">
        <v>20</v>
      </c>
      <c r="B1339" s="160"/>
      <c r="C1339" s="160"/>
      <c r="D1339" s="110"/>
      <c r="E1339" s="55"/>
      <c r="F1339" s="96">
        <f>SUM(F1336:F1338)</f>
        <v>3056.0144200000004</v>
      </c>
      <c r="G1339" s="97">
        <v>0</v>
      </c>
      <c r="H1339" s="96">
        <f>SUM(H1333:H1338)</f>
        <v>3056.0144200000004</v>
      </c>
      <c r="I1339" s="97">
        <f>SUM(I1336:I1338)</f>
        <v>0</v>
      </c>
      <c r="J1339" s="18">
        <v>0</v>
      </c>
      <c r="K1339" s="96"/>
    </row>
    <row r="1340" spans="1:11" ht="25.9" customHeight="1" x14ac:dyDescent="0.25">
      <c r="A1340" s="100">
        <v>1</v>
      </c>
      <c r="B1340" s="161" t="s">
        <v>1888</v>
      </c>
      <c r="C1340" s="92" t="s">
        <v>1893</v>
      </c>
      <c r="D1340" s="10" t="s">
        <v>1428</v>
      </c>
      <c r="E1340" s="10" t="s">
        <v>23</v>
      </c>
      <c r="F1340" s="17">
        <v>1375.01215</v>
      </c>
      <c r="G1340" s="18">
        <v>0</v>
      </c>
      <c r="H1340" s="18">
        <v>0</v>
      </c>
      <c r="I1340" s="17">
        <v>1375.01215</v>
      </c>
      <c r="J1340" s="18">
        <v>0</v>
      </c>
      <c r="K1340" s="101" t="s">
        <v>109</v>
      </c>
    </row>
    <row r="1341" spans="1:11" ht="45" x14ac:dyDescent="0.25">
      <c r="A1341" s="100">
        <v>2</v>
      </c>
      <c r="B1341" s="162"/>
      <c r="C1341" s="92" t="s">
        <v>1894</v>
      </c>
      <c r="D1341" s="10" t="s">
        <v>1891</v>
      </c>
      <c r="E1341" s="10" t="s">
        <v>23</v>
      </c>
      <c r="F1341" s="17">
        <v>920.57</v>
      </c>
      <c r="G1341" s="18">
        <v>0</v>
      </c>
      <c r="H1341" s="18">
        <v>0</v>
      </c>
      <c r="I1341" s="17">
        <v>920.57</v>
      </c>
      <c r="J1341" s="18">
        <v>0</v>
      </c>
      <c r="K1341" s="101" t="s">
        <v>291</v>
      </c>
    </row>
    <row r="1342" spans="1:11" ht="32.450000000000003" customHeight="1" x14ac:dyDescent="0.25">
      <c r="A1342" s="100">
        <v>3</v>
      </c>
      <c r="B1342" s="163"/>
      <c r="C1342" s="92" t="s">
        <v>1895</v>
      </c>
      <c r="D1342" s="10" t="s">
        <v>729</v>
      </c>
      <c r="E1342" s="10" t="s">
        <v>23</v>
      </c>
      <c r="F1342" s="17">
        <v>820.7328</v>
      </c>
      <c r="G1342" s="18">
        <v>0</v>
      </c>
      <c r="H1342" s="18">
        <v>0</v>
      </c>
      <c r="I1342" s="17">
        <v>820.7328</v>
      </c>
      <c r="J1342" s="18">
        <v>0</v>
      </c>
      <c r="K1342" s="115">
        <v>46753</v>
      </c>
    </row>
    <row r="1343" spans="1:11" ht="27.6" customHeight="1" x14ac:dyDescent="0.25">
      <c r="A1343" s="160" t="s">
        <v>21</v>
      </c>
      <c r="B1343" s="160"/>
      <c r="C1343" s="160"/>
      <c r="D1343" s="110"/>
      <c r="E1343" s="117"/>
      <c r="F1343" s="96">
        <f>SUM(F1340:F1342)</f>
        <v>3116.31495</v>
      </c>
      <c r="G1343" s="97">
        <v>0</v>
      </c>
      <c r="H1343" s="97">
        <v>0</v>
      </c>
      <c r="I1343" s="96">
        <f t="shared" ref="I1343" si="159">SUM(I1339:I1342)</f>
        <v>3116.31495</v>
      </c>
      <c r="J1343" s="18">
        <v>0</v>
      </c>
      <c r="K1343" s="96"/>
    </row>
    <row r="1344" spans="1:11" s="6" customFormat="1" ht="31.9" customHeight="1" x14ac:dyDescent="0.25">
      <c r="A1344" s="2">
        <v>1</v>
      </c>
      <c r="B1344" s="185" t="s">
        <v>1896</v>
      </c>
      <c r="C1344" s="13" t="s">
        <v>1897</v>
      </c>
      <c r="D1344" s="10" t="s">
        <v>1898</v>
      </c>
      <c r="E1344" s="8" t="s">
        <v>646</v>
      </c>
      <c r="F1344" s="120">
        <v>17425.900000000001</v>
      </c>
      <c r="G1344" s="120">
        <v>17425.900000000001</v>
      </c>
      <c r="H1344" s="18">
        <v>0</v>
      </c>
      <c r="I1344" s="18">
        <v>0</v>
      </c>
      <c r="J1344" s="18">
        <v>0</v>
      </c>
      <c r="K1344" s="121" t="s">
        <v>1899</v>
      </c>
    </row>
    <row r="1345" spans="1:11" s="6" customFormat="1" ht="46.15" customHeight="1" x14ac:dyDescent="0.25">
      <c r="A1345" s="2">
        <v>2</v>
      </c>
      <c r="B1345" s="185"/>
      <c r="C1345" s="13" t="s">
        <v>1900</v>
      </c>
      <c r="D1345" s="10" t="s">
        <v>1901</v>
      </c>
      <c r="E1345" s="8" t="s">
        <v>646</v>
      </c>
      <c r="F1345" s="120">
        <v>20803.150000000001</v>
      </c>
      <c r="G1345" s="120">
        <v>20803.150000000001</v>
      </c>
      <c r="H1345" s="18">
        <v>0</v>
      </c>
      <c r="I1345" s="18">
        <v>0</v>
      </c>
      <c r="J1345" s="18">
        <v>0</v>
      </c>
      <c r="K1345" s="121" t="s">
        <v>1899</v>
      </c>
    </row>
    <row r="1346" spans="1:11" s="6" customFormat="1" ht="27" customHeight="1" x14ac:dyDescent="0.25">
      <c r="A1346" s="179" t="s">
        <v>15</v>
      </c>
      <c r="B1346" s="180"/>
      <c r="C1346" s="180"/>
      <c r="D1346" s="186"/>
      <c r="E1346" s="187"/>
      <c r="F1346" s="122">
        <f>SUM(F1344:F1345)</f>
        <v>38229.050000000003</v>
      </c>
      <c r="G1346" s="96">
        <f>SUM(G1344:G1345)</f>
        <v>38229.050000000003</v>
      </c>
      <c r="H1346" s="18">
        <v>0</v>
      </c>
      <c r="I1346" s="18">
        <v>0</v>
      </c>
      <c r="J1346" s="18">
        <v>0</v>
      </c>
      <c r="K1346" s="123"/>
    </row>
    <row r="1347" spans="1:11" s="6" customFormat="1" ht="39.6" customHeight="1" x14ac:dyDescent="0.25">
      <c r="A1347" s="2">
        <v>1</v>
      </c>
      <c r="B1347" s="174" t="s">
        <v>1896</v>
      </c>
      <c r="C1347" s="13" t="s">
        <v>1902</v>
      </c>
      <c r="D1347" s="10" t="s">
        <v>1903</v>
      </c>
      <c r="E1347" s="8" t="s">
        <v>646</v>
      </c>
      <c r="F1347" s="120">
        <f>455666.62/1000</f>
        <v>455.66662000000002</v>
      </c>
      <c r="G1347" s="124">
        <v>0</v>
      </c>
      <c r="H1347" s="120">
        <f>455666.62/1000</f>
        <v>455.66662000000002</v>
      </c>
      <c r="I1347" s="18">
        <v>0</v>
      </c>
      <c r="J1347" s="18">
        <v>0</v>
      </c>
      <c r="K1347" s="121" t="s">
        <v>1904</v>
      </c>
    </row>
    <row r="1348" spans="1:11" s="6" customFormat="1" ht="39.6" customHeight="1" x14ac:dyDescent="0.25">
      <c r="A1348" s="2">
        <v>2</v>
      </c>
      <c r="B1348" s="175"/>
      <c r="C1348" s="13" t="s">
        <v>1905</v>
      </c>
      <c r="D1348" s="10" t="s">
        <v>1906</v>
      </c>
      <c r="E1348" s="8" t="s">
        <v>1907</v>
      </c>
      <c r="F1348" s="120">
        <f>302549.34/1000</f>
        <v>302.54934000000003</v>
      </c>
      <c r="G1348" s="124">
        <v>0</v>
      </c>
      <c r="H1348" s="120">
        <f>302549.34/1000</f>
        <v>302.54934000000003</v>
      </c>
      <c r="I1348" s="18">
        <v>0</v>
      </c>
      <c r="J1348" s="18">
        <v>0</v>
      </c>
      <c r="K1348" s="121" t="s">
        <v>1904</v>
      </c>
    </row>
    <row r="1349" spans="1:11" s="6" customFormat="1" ht="32.450000000000003" customHeight="1" x14ac:dyDescent="0.25">
      <c r="A1349" s="2">
        <v>3</v>
      </c>
      <c r="B1349" s="175"/>
      <c r="C1349" s="13" t="s">
        <v>1908</v>
      </c>
      <c r="D1349" s="10" t="s">
        <v>132</v>
      </c>
      <c r="E1349" s="8" t="s">
        <v>646</v>
      </c>
      <c r="F1349" s="120">
        <f>5221983.32/1000</f>
        <v>5221.9833200000003</v>
      </c>
      <c r="G1349" s="124">
        <v>0</v>
      </c>
      <c r="H1349" s="120">
        <f>5221983.32/1000</f>
        <v>5221.9833200000003</v>
      </c>
      <c r="I1349" s="18">
        <v>0</v>
      </c>
      <c r="J1349" s="18">
        <v>0</v>
      </c>
      <c r="K1349" s="121" t="s">
        <v>1904</v>
      </c>
    </row>
    <row r="1350" spans="1:11" s="6" customFormat="1" ht="32.450000000000003" customHeight="1" x14ac:dyDescent="0.25">
      <c r="A1350" s="2">
        <v>4</v>
      </c>
      <c r="B1350" s="175"/>
      <c r="C1350" s="13" t="s">
        <v>1909</v>
      </c>
      <c r="D1350" s="10" t="s">
        <v>1898</v>
      </c>
      <c r="E1350" s="8" t="s">
        <v>646</v>
      </c>
      <c r="F1350" s="120">
        <f>146915371.42/1000</f>
        <v>146915.37141999998</v>
      </c>
      <c r="G1350" s="124">
        <v>0</v>
      </c>
      <c r="H1350" s="120">
        <f>146915371.42/1000</f>
        <v>146915.37141999998</v>
      </c>
      <c r="I1350" s="18">
        <v>0</v>
      </c>
      <c r="J1350" s="18">
        <v>0</v>
      </c>
      <c r="K1350" s="121" t="s">
        <v>1904</v>
      </c>
    </row>
    <row r="1351" spans="1:11" s="6" customFormat="1" ht="21" customHeight="1" x14ac:dyDescent="0.25">
      <c r="A1351" s="179" t="s">
        <v>20</v>
      </c>
      <c r="B1351" s="180"/>
      <c r="C1351" s="180"/>
      <c r="D1351" s="186"/>
      <c r="E1351" s="187"/>
      <c r="F1351" s="122">
        <f>SUM(F1347:F1350)</f>
        <v>152895.57069999998</v>
      </c>
      <c r="G1351" s="124">
        <v>0</v>
      </c>
      <c r="H1351" s="96">
        <f>SUM(H1347:H1350)</f>
        <v>152895.57069999998</v>
      </c>
      <c r="I1351" s="18">
        <v>0</v>
      </c>
      <c r="J1351" s="18">
        <v>0</v>
      </c>
      <c r="K1351" s="123"/>
    </row>
    <row r="1352" spans="1:11" s="6" customFormat="1" ht="27.6" customHeight="1" x14ac:dyDescent="0.25">
      <c r="A1352" s="2">
        <v>1</v>
      </c>
      <c r="B1352" s="174" t="s">
        <v>1896</v>
      </c>
      <c r="C1352" s="13" t="s">
        <v>1910</v>
      </c>
      <c r="D1352" s="10" t="s">
        <v>1903</v>
      </c>
      <c r="E1352" s="8" t="s">
        <v>646</v>
      </c>
      <c r="F1352" s="120">
        <f>434666.59/1000</f>
        <v>434.66659000000004</v>
      </c>
      <c r="G1352" s="124">
        <v>0</v>
      </c>
      <c r="H1352" s="124">
        <v>0</v>
      </c>
      <c r="I1352" s="120">
        <f>434666.59/1000</f>
        <v>434.66659000000004</v>
      </c>
      <c r="J1352" s="18">
        <v>0</v>
      </c>
      <c r="K1352" s="121" t="s">
        <v>1911</v>
      </c>
    </row>
    <row r="1353" spans="1:11" s="6" customFormat="1" ht="40.9" customHeight="1" x14ac:dyDescent="0.25">
      <c r="A1353" s="2">
        <v>2</v>
      </c>
      <c r="B1353" s="175"/>
      <c r="C1353" s="13" t="s">
        <v>1912</v>
      </c>
      <c r="D1353" s="10" t="s">
        <v>1906</v>
      </c>
      <c r="E1353" s="8" t="s">
        <v>1907</v>
      </c>
      <c r="F1353" s="120">
        <f>302549.34/1000</f>
        <v>302.54934000000003</v>
      </c>
      <c r="G1353" s="124">
        <v>0</v>
      </c>
      <c r="H1353" s="124">
        <v>0</v>
      </c>
      <c r="I1353" s="120">
        <f>302549.34/1000</f>
        <v>302.54934000000003</v>
      </c>
      <c r="J1353" s="18">
        <v>0</v>
      </c>
      <c r="K1353" s="121" t="s">
        <v>1911</v>
      </c>
    </row>
    <row r="1354" spans="1:11" s="6" customFormat="1" ht="30" customHeight="1" x14ac:dyDescent="0.25">
      <c r="A1354" s="2">
        <v>3</v>
      </c>
      <c r="B1354" s="176"/>
      <c r="C1354" s="13" t="s">
        <v>1913</v>
      </c>
      <c r="D1354" s="10" t="s">
        <v>132</v>
      </c>
      <c r="E1354" s="8" t="s">
        <v>646</v>
      </c>
      <c r="F1354" s="120">
        <v>3994.23</v>
      </c>
      <c r="G1354" s="124">
        <v>0</v>
      </c>
      <c r="H1354" s="124">
        <v>0</v>
      </c>
      <c r="I1354" s="120">
        <v>3994.23</v>
      </c>
      <c r="J1354" s="18">
        <v>0</v>
      </c>
      <c r="K1354" s="121" t="s">
        <v>1911</v>
      </c>
    </row>
    <row r="1355" spans="1:11" s="6" customFormat="1" ht="20.45" customHeight="1" x14ac:dyDescent="0.25">
      <c r="A1355" s="179" t="s">
        <v>21</v>
      </c>
      <c r="B1355" s="180"/>
      <c r="C1355" s="180"/>
      <c r="D1355" s="180"/>
      <c r="E1355" s="181"/>
      <c r="F1355" s="96">
        <f>SUM(F1352:F1354)</f>
        <v>4731.4459299999999</v>
      </c>
      <c r="G1355" s="124">
        <v>0</v>
      </c>
      <c r="H1355" s="124">
        <v>0</v>
      </c>
      <c r="I1355" s="96">
        <f>SUM(I1352:I1354)</f>
        <v>4731.4459299999999</v>
      </c>
      <c r="J1355" s="18">
        <v>0</v>
      </c>
      <c r="K1355" s="123"/>
    </row>
    <row r="1356" spans="1:11" ht="32.450000000000003" customHeight="1" x14ac:dyDescent="0.25">
      <c r="A1356" s="125">
        <v>1</v>
      </c>
      <c r="B1356" s="174" t="s">
        <v>1914</v>
      </c>
      <c r="C1356" s="24" t="s">
        <v>1915</v>
      </c>
      <c r="D1356" s="125" t="s">
        <v>1916</v>
      </c>
      <c r="E1356" s="125" t="s">
        <v>36</v>
      </c>
      <c r="F1356" s="126">
        <v>119.01</v>
      </c>
      <c r="G1356" s="126">
        <v>119.01</v>
      </c>
      <c r="H1356" s="126">
        <v>0</v>
      </c>
      <c r="I1356" s="126">
        <v>0</v>
      </c>
      <c r="J1356" s="126">
        <v>0</v>
      </c>
      <c r="K1356" s="121" t="s">
        <v>418</v>
      </c>
    </row>
    <row r="1357" spans="1:11" ht="42.6" customHeight="1" x14ac:dyDescent="0.25">
      <c r="A1357" s="125">
        <v>2</v>
      </c>
      <c r="B1357" s="175"/>
      <c r="C1357" s="24" t="s">
        <v>1917</v>
      </c>
      <c r="D1357" s="125" t="s">
        <v>1918</v>
      </c>
      <c r="E1357" s="125" t="s">
        <v>36</v>
      </c>
      <c r="F1357" s="126">
        <v>22054.67</v>
      </c>
      <c r="G1357" s="126">
        <v>22054.67</v>
      </c>
      <c r="H1357" s="126">
        <v>0</v>
      </c>
      <c r="I1357" s="126">
        <v>0</v>
      </c>
      <c r="J1357" s="126">
        <v>0</v>
      </c>
      <c r="K1357" s="121" t="s">
        <v>1919</v>
      </c>
    </row>
    <row r="1358" spans="1:11" ht="43.9" customHeight="1" x14ac:dyDescent="0.25">
      <c r="A1358" s="125">
        <v>3</v>
      </c>
      <c r="B1358" s="176"/>
      <c r="C1358" s="24" t="s">
        <v>1920</v>
      </c>
      <c r="D1358" s="125" t="s">
        <v>1921</v>
      </c>
      <c r="E1358" s="125" t="s">
        <v>36</v>
      </c>
      <c r="F1358" s="126">
        <v>5188.5</v>
      </c>
      <c r="G1358" s="126">
        <v>5188.5</v>
      </c>
      <c r="H1358" s="126">
        <v>0</v>
      </c>
      <c r="I1358" s="126">
        <v>0</v>
      </c>
      <c r="J1358" s="126">
        <v>0</v>
      </c>
      <c r="K1358" s="121" t="s">
        <v>203</v>
      </c>
    </row>
    <row r="1359" spans="1:11" ht="19.899999999999999" customHeight="1" x14ac:dyDescent="0.25">
      <c r="A1359" s="177" t="s">
        <v>15</v>
      </c>
      <c r="B1359" s="178"/>
      <c r="C1359" s="178"/>
      <c r="D1359" s="178"/>
      <c r="E1359" s="178"/>
      <c r="F1359" s="127">
        <f>SUM(F1356:F1358)</f>
        <v>27362.179999999997</v>
      </c>
      <c r="G1359" s="127">
        <f>SUM(G1356:G1358)</f>
        <v>27362.179999999997</v>
      </c>
      <c r="H1359" s="127">
        <v>0</v>
      </c>
      <c r="I1359" s="127">
        <v>0</v>
      </c>
      <c r="J1359" s="127">
        <f>SUM(J1356:J1358)</f>
        <v>0</v>
      </c>
      <c r="K1359" s="123"/>
    </row>
    <row r="1360" spans="1:11" ht="45" x14ac:dyDescent="0.25">
      <c r="A1360" s="125">
        <v>1</v>
      </c>
      <c r="B1360" s="174" t="s">
        <v>1914</v>
      </c>
      <c r="C1360" s="24" t="s">
        <v>1922</v>
      </c>
      <c r="D1360" s="125" t="s">
        <v>1923</v>
      </c>
      <c r="E1360" s="125" t="s">
        <v>202</v>
      </c>
      <c r="F1360" s="126">
        <v>3.16</v>
      </c>
      <c r="G1360" s="128">
        <v>0</v>
      </c>
      <c r="H1360" s="126">
        <v>3.16</v>
      </c>
      <c r="I1360" s="124">
        <v>0</v>
      </c>
      <c r="J1360" s="124">
        <v>0</v>
      </c>
      <c r="K1360" s="121" t="s">
        <v>65</v>
      </c>
    </row>
    <row r="1361" spans="1:11" ht="25.5" customHeight="1" x14ac:dyDescent="0.25">
      <c r="A1361" s="125">
        <v>2</v>
      </c>
      <c r="B1361" s="175"/>
      <c r="C1361" s="24" t="s">
        <v>1924</v>
      </c>
      <c r="D1361" s="125" t="s">
        <v>515</v>
      </c>
      <c r="E1361" s="125" t="s">
        <v>202</v>
      </c>
      <c r="F1361" s="126">
        <v>67.08</v>
      </c>
      <c r="G1361" s="128">
        <v>0</v>
      </c>
      <c r="H1361" s="126">
        <v>67.08</v>
      </c>
      <c r="I1361" s="124">
        <v>0</v>
      </c>
      <c r="J1361" s="124">
        <v>0</v>
      </c>
      <c r="K1361" s="121" t="s">
        <v>65</v>
      </c>
    </row>
    <row r="1362" spans="1:11" ht="45" x14ac:dyDescent="0.25">
      <c r="A1362" s="125">
        <v>3</v>
      </c>
      <c r="B1362" s="175"/>
      <c r="C1362" s="24" t="s">
        <v>1925</v>
      </c>
      <c r="D1362" s="125" t="s">
        <v>1926</v>
      </c>
      <c r="E1362" s="125" t="s">
        <v>202</v>
      </c>
      <c r="F1362" s="126">
        <v>161.08000000000001</v>
      </c>
      <c r="G1362" s="128">
        <v>0</v>
      </c>
      <c r="H1362" s="126">
        <v>161.08000000000001</v>
      </c>
      <c r="I1362" s="124">
        <v>0</v>
      </c>
      <c r="J1362" s="124">
        <v>0</v>
      </c>
      <c r="K1362" s="121" t="s">
        <v>65</v>
      </c>
    </row>
    <row r="1363" spans="1:11" ht="39.6" customHeight="1" x14ac:dyDescent="0.25">
      <c r="A1363" s="125">
        <v>4</v>
      </c>
      <c r="B1363" s="175"/>
      <c r="C1363" s="24" t="s">
        <v>1927</v>
      </c>
      <c r="D1363" s="125" t="s">
        <v>1928</v>
      </c>
      <c r="E1363" s="125" t="s">
        <v>36</v>
      </c>
      <c r="F1363" s="126">
        <v>384.1</v>
      </c>
      <c r="G1363" s="128">
        <v>0</v>
      </c>
      <c r="H1363" s="126">
        <v>384.1</v>
      </c>
      <c r="I1363" s="124">
        <v>0</v>
      </c>
      <c r="J1363" s="124">
        <v>0</v>
      </c>
      <c r="K1363" s="121" t="s">
        <v>65</v>
      </c>
    </row>
    <row r="1364" spans="1:11" ht="32.450000000000003" customHeight="1" x14ac:dyDescent="0.25">
      <c r="A1364" s="125">
        <v>5</v>
      </c>
      <c r="B1364" s="175"/>
      <c r="C1364" s="24" t="s">
        <v>1929</v>
      </c>
      <c r="D1364" s="125" t="s">
        <v>1930</v>
      </c>
      <c r="E1364" s="125" t="s">
        <v>202</v>
      </c>
      <c r="F1364" s="126">
        <v>515.5</v>
      </c>
      <c r="G1364" s="128">
        <v>0</v>
      </c>
      <c r="H1364" s="126">
        <v>515.5</v>
      </c>
      <c r="I1364" s="124">
        <v>0</v>
      </c>
      <c r="J1364" s="124">
        <v>0</v>
      </c>
      <c r="K1364" s="121" t="s">
        <v>65</v>
      </c>
    </row>
    <row r="1365" spans="1:11" ht="36.6" customHeight="1" x14ac:dyDescent="0.25">
      <c r="A1365" s="125">
        <v>6</v>
      </c>
      <c r="B1365" s="175"/>
      <c r="C1365" s="24" t="s">
        <v>1931</v>
      </c>
      <c r="D1365" s="125" t="s">
        <v>449</v>
      </c>
      <c r="E1365" s="125" t="s">
        <v>202</v>
      </c>
      <c r="F1365" s="126">
        <v>620.30999999999995</v>
      </c>
      <c r="G1365" s="128">
        <v>0</v>
      </c>
      <c r="H1365" s="126">
        <v>620.30999999999995</v>
      </c>
      <c r="I1365" s="124">
        <v>0</v>
      </c>
      <c r="J1365" s="124">
        <v>0</v>
      </c>
      <c r="K1365" s="121" t="s">
        <v>65</v>
      </c>
    </row>
    <row r="1366" spans="1:11" ht="39" customHeight="1" x14ac:dyDescent="0.25">
      <c r="A1366" s="125">
        <v>7</v>
      </c>
      <c r="B1366" s="175"/>
      <c r="C1366" s="24" t="s">
        <v>1932</v>
      </c>
      <c r="D1366" s="125" t="s">
        <v>1933</v>
      </c>
      <c r="E1366" s="125" t="s">
        <v>202</v>
      </c>
      <c r="F1366" s="126">
        <v>632.23</v>
      </c>
      <c r="G1366" s="128">
        <v>0</v>
      </c>
      <c r="H1366" s="126">
        <v>632.23</v>
      </c>
      <c r="I1366" s="124">
        <v>0</v>
      </c>
      <c r="J1366" s="124">
        <v>0</v>
      </c>
      <c r="K1366" s="125" t="s">
        <v>1934</v>
      </c>
    </row>
    <row r="1367" spans="1:11" ht="37.5" customHeight="1" x14ac:dyDescent="0.25">
      <c r="A1367" s="125">
        <v>8</v>
      </c>
      <c r="B1367" s="175"/>
      <c r="C1367" s="24" t="s">
        <v>1935</v>
      </c>
      <c r="D1367" s="125" t="s">
        <v>1936</v>
      </c>
      <c r="E1367" s="125" t="s">
        <v>202</v>
      </c>
      <c r="F1367" s="126">
        <v>787.04</v>
      </c>
      <c r="G1367" s="128">
        <v>0</v>
      </c>
      <c r="H1367" s="126">
        <v>787.04</v>
      </c>
      <c r="I1367" s="124">
        <v>0</v>
      </c>
      <c r="J1367" s="124">
        <v>0</v>
      </c>
      <c r="K1367" s="125" t="s">
        <v>1934</v>
      </c>
    </row>
    <row r="1368" spans="1:11" ht="39.6" customHeight="1" x14ac:dyDescent="0.25">
      <c r="A1368" s="125">
        <v>9</v>
      </c>
      <c r="B1368" s="175"/>
      <c r="C1368" s="24" t="s">
        <v>1937</v>
      </c>
      <c r="D1368" s="125" t="s">
        <v>1918</v>
      </c>
      <c r="E1368" s="125" t="s">
        <v>36</v>
      </c>
      <c r="F1368" s="126">
        <v>1319.99</v>
      </c>
      <c r="G1368" s="128">
        <v>0</v>
      </c>
      <c r="H1368" s="126">
        <v>1319.99</v>
      </c>
      <c r="I1368" s="124">
        <v>0</v>
      </c>
      <c r="J1368" s="124">
        <v>0</v>
      </c>
      <c r="K1368" s="121" t="s">
        <v>65</v>
      </c>
    </row>
    <row r="1369" spans="1:11" ht="42.75" customHeight="1" x14ac:dyDescent="0.25">
      <c r="A1369" s="125">
        <v>10</v>
      </c>
      <c r="B1369" s="175"/>
      <c r="C1369" s="24" t="s">
        <v>1938</v>
      </c>
      <c r="D1369" s="125" t="s">
        <v>149</v>
      </c>
      <c r="E1369" s="125" t="s">
        <v>202</v>
      </c>
      <c r="F1369" s="126">
        <v>1455.81</v>
      </c>
      <c r="G1369" s="128">
        <v>0</v>
      </c>
      <c r="H1369" s="126">
        <v>1455.81</v>
      </c>
      <c r="I1369" s="124">
        <v>0</v>
      </c>
      <c r="J1369" s="124">
        <v>0</v>
      </c>
      <c r="K1369" s="125" t="s">
        <v>1934</v>
      </c>
    </row>
    <row r="1370" spans="1:11" ht="34.9" customHeight="1" x14ac:dyDescent="0.25">
      <c r="A1370" s="125">
        <v>11</v>
      </c>
      <c r="B1370" s="175"/>
      <c r="C1370" s="24" t="s">
        <v>1939</v>
      </c>
      <c r="D1370" s="125" t="s">
        <v>1940</v>
      </c>
      <c r="E1370" s="125" t="s">
        <v>202</v>
      </c>
      <c r="F1370" s="126">
        <v>1679.02</v>
      </c>
      <c r="G1370" s="128">
        <v>0</v>
      </c>
      <c r="H1370" s="126">
        <v>1679.02</v>
      </c>
      <c r="I1370" s="124">
        <v>0</v>
      </c>
      <c r="J1370" s="124">
        <v>0</v>
      </c>
      <c r="K1370" s="125" t="s">
        <v>1934</v>
      </c>
    </row>
    <row r="1371" spans="1:11" ht="42.75" customHeight="1" x14ac:dyDescent="0.25">
      <c r="A1371" s="125">
        <v>12</v>
      </c>
      <c r="B1371" s="175"/>
      <c r="C1371" s="24" t="s">
        <v>1941</v>
      </c>
      <c r="D1371" s="125" t="s">
        <v>1942</v>
      </c>
      <c r="E1371" s="125" t="s">
        <v>202</v>
      </c>
      <c r="F1371" s="126">
        <v>1816.85</v>
      </c>
      <c r="G1371" s="128">
        <v>0</v>
      </c>
      <c r="H1371" s="126">
        <v>1816.85</v>
      </c>
      <c r="I1371" s="124">
        <v>0</v>
      </c>
      <c r="J1371" s="124">
        <v>0</v>
      </c>
      <c r="K1371" s="125" t="s">
        <v>1934</v>
      </c>
    </row>
    <row r="1372" spans="1:11" ht="41.25" customHeight="1" x14ac:dyDescent="0.25">
      <c r="A1372" s="125">
        <v>13</v>
      </c>
      <c r="B1372" s="175"/>
      <c r="C1372" s="24" t="s">
        <v>1943</v>
      </c>
      <c r="D1372" s="125" t="s">
        <v>132</v>
      </c>
      <c r="E1372" s="125" t="s">
        <v>202</v>
      </c>
      <c r="F1372" s="126">
        <v>1861.1</v>
      </c>
      <c r="G1372" s="128">
        <v>0</v>
      </c>
      <c r="H1372" s="126">
        <v>1861.1</v>
      </c>
      <c r="I1372" s="124">
        <v>0</v>
      </c>
      <c r="J1372" s="124">
        <v>0</v>
      </c>
      <c r="K1372" s="125" t="s">
        <v>1934</v>
      </c>
    </row>
    <row r="1373" spans="1:11" ht="42.75" customHeight="1" x14ac:dyDescent="0.25">
      <c r="A1373" s="125">
        <v>14</v>
      </c>
      <c r="B1373" s="176"/>
      <c r="C1373" s="24" t="s">
        <v>1944</v>
      </c>
      <c r="D1373" s="125" t="s">
        <v>958</v>
      </c>
      <c r="E1373" s="125" t="s">
        <v>202</v>
      </c>
      <c r="F1373" s="126">
        <v>2527.88</v>
      </c>
      <c r="G1373" s="128">
        <v>0</v>
      </c>
      <c r="H1373" s="126">
        <v>2527.88</v>
      </c>
      <c r="I1373" s="124">
        <v>0</v>
      </c>
      <c r="J1373" s="124">
        <v>0</v>
      </c>
      <c r="K1373" s="125" t="s">
        <v>1934</v>
      </c>
    </row>
    <row r="1374" spans="1:11" ht="22.15" customHeight="1" x14ac:dyDescent="0.25">
      <c r="A1374" s="177" t="s">
        <v>20</v>
      </c>
      <c r="B1374" s="178"/>
      <c r="C1374" s="178"/>
      <c r="D1374" s="178"/>
      <c r="E1374" s="178"/>
      <c r="F1374" s="127">
        <f>SUM(F1360:F1373)</f>
        <v>13831.150000000001</v>
      </c>
      <c r="G1374" s="128">
        <v>0</v>
      </c>
      <c r="H1374" s="127">
        <f t="shared" ref="H1374" si="160">SUM(H1360:H1373)</f>
        <v>13831.150000000001</v>
      </c>
      <c r="I1374" s="124">
        <v>0</v>
      </c>
      <c r="J1374" s="124">
        <v>0</v>
      </c>
      <c r="K1374" s="123"/>
    </row>
    <row r="1375" spans="1:11" ht="45" x14ac:dyDescent="0.25">
      <c r="A1375" s="125">
        <v>1</v>
      </c>
      <c r="B1375" s="174" t="s">
        <v>1914</v>
      </c>
      <c r="C1375" s="24" t="s">
        <v>1945</v>
      </c>
      <c r="D1375" s="125" t="s">
        <v>1923</v>
      </c>
      <c r="E1375" s="125" t="s">
        <v>202</v>
      </c>
      <c r="F1375" s="126">
        <v>4.4000000000000004</v>
      </c>
      <c r="G1375" s="128">
        <v>0</v>
      </c>
      <c r="H1375" s="128">
        <v>0</v>
      </c>
      <c r="I1375" s="126">
        <v>4.4000000000000004</v>
      </c>
      <c r="J1375" s="124">
        <v>0</v>
      </c>
      <c r="K1375" s="121" t="s">
        <v>109</v>
      </c>
    </row>
    <row r="1376" spans="1:11" ht="33.75" customHeight="1" x14ac:dyDescent="0.25">
      <c r="A1376" s="125">
        <v>2</v>
      </c>
      <c r="B1376" s="175"/>
      <c r="C1376" s="24" t="s">
        <v>1946</v>
      </c>
      <c r="D1376" s="125" t="s">
        <v>1930</v>
      </c>
      <c r="E1376" s="125" t="s">
        <v>202</v>
      </c>
      <c r="F1376" s="126">
        <v>26.8</v>
      </c>
      <c r="G1376" s="128">
        <v>0</v>
      </c>
      <c r="H1376" s="128">
        <v>0</v>
      </c>
      <c r="I1376" s="126">
        <v>26.8</v>
      </c>
      <c r="J1376" s="124">
        <v>0</v>
      </c>
      <c r="K1376" s="121" t="s">
        <v>109</v>
      </c>
    </row>
    <row r="1377" spans="1:11" ht="31.5" customHeight="1" x14ac:dyDescent="0.25">
      <c r="A1377" s="125">
        <v>3</v>
      </c>
      <c r="B1377" s="175"/>
      <c r="C1377" s="24" t="s">
        <v>1947</v>
      </c>
      <c r="D1377" s="125" t="s">
        <v>515</v>
      </c>
      <c r="E1377" s="125" t="s">
        <v>202</v>
      </c>
      <c r="F1377" s="126">
        <v>67.08</v>
      </c>
      <c r="G1377" s="128">
        <v>0</v>
      </c>
      <c r="H1377" s="128">
        <v>0</v>
      </c>
      <c r="I1377" s="126">
        <v>67.08</v>
      </c>
      <c r="J1377" s="124">
        <v>0</v>
      </c>
      <c r="K1377" s="121" t="s">
        <v>109</v>
      </c>
    </row>
    <row r="1378" spans="1:11" ht="45" x14ac:dyDescent="0.25">
      <c r="A1378" s="125">
        <v>4</v>
      </c>
      <c r="B1378" s="175"/>
      <c r="C1378" s="24" t="s">
        <v>1948</v>
      </c>
      <c r="D1378" s="125" t="s">
        <v>1926</v>
      </c>
      <c r="E1378" s="125" t="s">
        <v>36</v>
      </c>
      <c r="F1378" s="126">
        <v>161.08000000000001</v>
      </c>
      <c r="G1378" s="128">
        <v>0</v>
      </c>
      <c r="H1378" s="128">
        <v>0</v>
      </c>
      <c r="I1378" s="126">
        <v>161.08000000000001</v>
      </c>
      <c r="J1378" s="124">
        <v>0</v>
      </c>
      <c r="K1378" s="121" t="s">
        <v>109</v>
      </c>
    </row>
    <row r="1379" spans="1:11" ht="45" x14ac:dyDescent="0.25">
      <c r="A1379" s="125">
        <v>5</v>
      </c>
      <c r="B1379" s="175"/>
      <c r="C1379" s="24" t="s">
        <v>1949</v>
      </c>
      <c r="D1379" s="125" t="s">
        <v>1928</v>
      </c>
      <c r="E1379" s="125" t="s">
        <v>36</v>
      </c>
      <c r="F1379" s="126">
        <v>384</v>
      </c>
      <c r="G1379" s="128">
        <v>0</v>
      </c>
      <c r="H1379" s="128">
        <v>0</v>
      </c>
      <c r="I1379" s="126">
        <v>384</v>
      </c>
      <c r="J1379" s="124">
        <v>0</v>
      </c>
      <c r="K1379" s="121" t="s">
        <v>109</v>
      </c>
    </row>
    <row r="1380" spans="1:11" ht="27.75" customHeight="1" x14ac:dyDescent="0.25">
      <c r="A1380" s="125">
        <v>6</v>
      </c>
      <c r="B1380" s="175"/>
      <c r="C1380" s="24" t="s">
        <v>1950</v>
      </c>
      <c r="D1380" s="125" t="s">
        <v>449</v>
      </c>
      <c r="E1380" s="125" t="s">
        <v>202</v>
      </c>
      <c r="F1380" s="126">
        <v>620.59</v>
      </c>
      <c r="G1380" s="128">
        <v>0</v>
      </c>
      <c r="H1380" s="128">
        <v>0</v>
      </c>
      <c r="I1380" s="126">
        <v>620.59</v>
      </c>
      <c r="J1380" s="124">
        <v>0</v>
      </c>
      <c r="K1380" s="121" t="s">
        <v>109</v>
      </c>
    </row>
    <row r="1381" spans="1:11" ht="37.5" customHeight="1" x14ac:dyDescent="0.25">
      <c r="A1381" s="125">
        <v>7</v>
      </c>
      <c r="B1381" s="175"/>
      <c r="C1381" s="24" t="s">
        <v>1951</v>
      </c>
      <c r="D1381" s="125" t="s">
        <v>1933</v>
      </c>
      <c r="E1381" s="125" t="s">
        <v>202</v>
      </c>
      <c r="F1381" s="126">
        <v>632.23</v>
      </c>
      <c r="G1381" s="128">
        <v>0</v>
      </c>
      <c r="H1381" s="128">
        <v>0</v>
      </c>
      <c r="I1381" s="126">
        <v>632.23</v>
      </c>
      <c r="J1381" s="124">
        <v>0</v>
      </c>
      <c r="K1381" s="121" t="s">
        <v>1952</v>
      </c>
    </row>
    <row r="1382" spans="1:11" ht="47.25" customHeight="1" x14ac:dyDescent="0.25">
      <c r="A1382" s="125">
        <v>8</v>
      </c>
      <c r="B1382" s="175"/>
      <c r="C1382" s="24" t="s">
        <v>1953</v>
      </c>
      <c r="D1382" s="125" t="s">
        <v>1936</v>
      </c>
      <c r="E1382" s="125" t="s">
        <v>36</v>
      </c>
      <c r="F1382" s="126">
        <v>787.04</v>
      </c>
      <c r="G1382" s="128">
        <v>0</v>
      </c>
      <c r="H1382" s="128">
        <v>0</v>
      </c>
      <c r="I1382" s="126">
        <v>787.04</v>
      </c>
      <c r="J1382" s="124">
        <v>0</v>
      </c>
      <c r="K1382" s="121" t="s">
        <v>1952</v>
      </c>
    </row>
    <row r="1383" spans="1:11" ht="45" x14ac:dyDescent="0.25">
      <c r="A1383" s="125">
        <v>9</v>
      </c>
      <c r="B1383" s="175"/>
      <c r="C1383" s="24" t="s">
        <v>1954</v>
      </c>
      <c r="D1383" s="125" t="s">
        <v>1918</v>
      </c>
      <c r="E1383" s="125" t="s">
        <v>36</v>
      </c>
      <c r="F1383" s="126">
        <v>1325.26</v>
      </c>
      <c r="G1383" s="128">
        <v>0</v>
      </c>
      <c r="H1383" s="128">
        <v>0</v>
      </c>
      <c r="I1383" s="126">
        <v>1325.26</v>
      </c>
      <c r="J1383" s="124">
        <v>0</v>
      </c>
      <c r="K1383" s="121" t="s">
        <v>1955</v>
      </c>
    </row>
    <row r="1384" spans="1:11" ht="39" customHeight="1" x14ac:dyDescent="0.25">
      <c r="A1384" s="125">
        <v>10</v>
      </c>
      <c r="B1384" s="175"/>
      <c r="C1384" s="24" t="s">
        <v>1956</v>
      </c>
      <c r="D1384" s="125" t="s">
        <v>149</v>
      </c>
      <c r="E1384" s="125" t="s">
        <v>202</v>
      </c>
      <c r="F1384" s="126">
        <v>1455.81</v>
      </c>
      <c r="G1384" s="128">
        <v>0</v>
      </c>
      <c r="H1384" s="128">
        <v>0</v>
      </c>
      <c r="I1384" s="126">
        <v>1455.81</v>
      </c>
      <c r="J1384" s="124">
        <v>0</v>
      </c>
      <c r="K1384" s="121" t="s">
        <v>1952</v>
      </c>
    </row>
    <row r="1385" spans="1:11" ht="30" x14ac:dyDescent="0.25">
      <c r="A1385" s="125">
        <v>11</v>
      </c>
      <c r="B1385" s="175"/>
      <c r="C1385" s="24" t="s">
        <v>1957</v>
      </c>
      <c r="D1385" s="125" t="s">
        <v>1940</v>
      </c>
      <c r="E1385" s="125" t="s">
        <v>202</v>
      </c>
      <c r="F1385" s="126">
        <v>1679.02</v>
      </c>
      <c r="G1385" s="128">
        <v>0</v>
      </c>
      <c r="H1385" s="128">
        <v>0</v>
      </c>
      <c r="I1385" s="126">
        <v>1679.02</v>
      </c>
      <c r="J1385" s="124">
        <v>0</v>
      </c>
      <c r="K1385" s="121" t="s">
        <v>1952</v>
      </c>
    </row>
    <row r="1386" spans="1:11" ht="30" customHeight="1" x14ac:dyDescent="0.25">
      <c r="A1386" s="125">
        <v>12</v>
      </c>
      <c r="B1386" s="175"/>
      <c r="C1386" s="24" t="s">
        <v>1958</v>
      </c>
      <c r="D1386" s="125" t="s">
        <v>132</v>
      </c>
      <c r="E1386" s="125" t="s">
        <v>202</v>
      </c>
      <c r="F1386" s="126">
        <v>1802.26</v>
      </c>
      <c r="G1386" s="128">
        <v>0</v>
      </c>
      <c r="H1386" s="128">
        <v>0</v>
      </c>
      <c r="I1386" s="126">
        <v>1802.26</v>
      </c>
      <c r="J1386" s="124">
        <v>0</v>
      </c>
      <c r="K1386" s="121" t="s">
        <v>1952</v>
      </c>
    </row>
    <row r="1387" spans="1:11" ht="45" x14ac:dyDescent="0.25">
      <c r="A1387" s="125">
        <v>13</v>
      </c>
      <c r="B1387" s="175"/>
      <c r="C1387" s="24" t="s">
        <v>1959</v>
      </c>
      <c r="D1387" s="125" t="s">
        <v>1942</v>
      </c>
      <c r="E1387" s="125" t="s">
        <v>202</v>
      </c>
      <c r="F1387" s="126">
        <v>1816.85</v>
      </c>
      <c r="G1387" s="128">
        <v>0</v>
      </c>
      <c r="H1387" s="128">
        <v>0</v>
      </c>
      <c r="I1387" s="126">
        <v>1816.85</v>
      </c>
      <c r="J1387" s="124">
        <v>0</v>
      </c>
      <c r="K1387" s="121" t="s">
        <v>1952</v>
      </c>
    </row>
    <row r="1388" spans="1:11" ht="32.450000000000003" customHeight="1" x14ac:dyDescent="0.25">
      <c r="A1388" s="125">
        <v>14</v>
      </c>
      <c r="B1388" s="176"/>
      <c r="C1388" s="24" t="s">
        <v>1960</v>
      </c>
      <c r="D1388" s="125" t="s">
        <v>958</v>
      </c>
      <c r="E1388" s="125" t="s">
        <v>202</v>
      </c>
      <c r="F1388" s="126">
        <v>2527.88</v>
      </c>
      <c r="G1388" s="128">
        <v>0</v>
      </c>
      <c r="H1388" s="128">
        <v>0</v>
      </c>
      <c r="I1388" s="126">
        <v>2527.88</v>
      </c>
      <c r="J1388" s="124">
        <v>0</v>
      </c>
      <c r="K1388" s="121" t="s">
        <v>1952</v>
      </c>
    </row>
    <row r="1389" spans="1:11" ht="21" customHeight="1" x14ac:dyDescent="0.25">
      <c r="A1389" s="177" t="s">
        <v>21</v>
      </c>
      <c r="B1389" s="178"/>
      <c r="C1389" s="178"/>
      <c r="D1389" s="178"/>
      <c r="E1389" s="178"/>
      <c r="F1389" s="129">
        <f>SUM(F1375:F1388)</f>
        <v>13290.300000000003</v>
      </c>
      <c r="G1389" s="128">
        <v>0</v>
      </c>
      <c r="H1389" s="128">
        <v>0</v>
      </c>
      <c r="I1389" s="129">
        <f t="shared" ref="I1389" si="161">SUM(I1375:I1388)</f>
        <v>13290.300000000003</v>
      </c>
      <c r="J1389" s="124">
        <v>0</v>
      </c>
      <c r="K1389" s="130"/>
    </row>
    <row r="1390" spans="1:11" s="3" customFormat="1" ht="30.6" customHeight="1" x14ac:dyDescent="0.25">
      <c r="A1390" s="100">
        <v>1</v>
      </c>
      <c r="B1390" s="161" t="s">
        <v>1961</v>
      </c>
      <c r="C1390" s="10" t="s">
        <v>1962</v>
      </c>
      <c r="D1390" s="2" t="s">
        <v>1963</v>
      </c>
      <c r="E1390" s="131" t="s">
        <v>1964</v>
      </c>
      <c r="F1390" s="132">
        <v>1440</v>
      </c>
      <c r="G1390" s="132">
        <v>1440</v>
      </c>
      <c r="H1390" s="128">
        <v>0</v>
      </c>
      <c r="I1390" s="128">
        <v>0</v>
      </c>
      <c r="J1390" s="128">
        <v>0</v>
      </c>
      <c r="K1390" s="133">
        <v>46174</v>
      </c>
    </row>
    <row r="1391" spans="1:11" s="3" customFormat="1" ht="30.6" customHeight="1" x14ac:dyDescent="0.25">
      <c r="A1391" s="100">
        <v>2</v>
      </c>
      <c r="B1391" s="163"/>
      <c r="C1391" s="10" t="s">
        <v>1965</v>
      </c>
      <c r="D1391" s="2" t="s">
        <v>1966</v>
      </c>
      <c r="E1391" s="131" t="s">
        <v>1964</v>
      </c>
      <c r="F1391" s="132">
        <v>1400</v>
      </c>
      <c r="G1391" s="132">
        <v>1400</v>
      </c>
      <c r="H1391" s="128">
        <v>0</v>
      </c>
      <c r="I1391" s="128">
        <v>0</v>
      </c>
      <c r="J1391" s="128">
        <v>0</v>
      </c>
      <c r="K1391" s="133">
        <v>46175</v>
      </c>
    </row>
    <row r="1392" spans="1:11" s="3" customFormat="1" ht="22.15" customHeight="1" x14ac:dyDescent="0.25">
      <c r="A1392" s="179" t="s">
        <v>15</v>
      </c>
      <c r="B1392" s="180"/>
      <c r="C1392" s="180"/>
      <c r="D1392" s="181"/>
      <c r="E1392" s="134"/>
      <c r="F1392" s="135">
        <f>G1392+H1392+I1392+J1392</f>
        <v>2840</v>
      </c>
      <c r="G1392" s="135">
        <f>SUM(G1390:G1391)</f>
        <v>2840</v>
      </c>
      <c r="H1392" s="128">
        <v>0</v>
      </c>
      <c r="I1392" s="128">
        <v>0</v>
      </c>
      <c r="J1392" s="128">
        <v>0</v>
      </c>
      <c r="K1392" s="136"/>
    </row>
    <row r="1393" spans="1:11" s="3" customFormat="1" ht="32.450000000000003" customHeight="1" x14ac:dyDescent="0.25">
      <c r="A1393" s="100">
        <v>1</v>
      </c>
      <c r="B1393" s="161" t="s">
        <v>1961</v>
      </c>
      <c r="C1393" s="10" t="s">
        <v>1968</v>
      </c>
      <c r="D1393" s="2" t="s">
        <v>1963</v>
      </c>
      <c r="E1393" s="131" t="s">
        <v>1964</v>
      </c>
      <c r="F1393" s="132">
        <v>1440</v>
      </c>
      <c r="G1393" s="128">
        <v>0</v>
      </c>
      <c r="H1393" s="132">
        <v>1440</v>
      </c>
      <c r="I1393" s="128">
        <v>0</v>
      </c>
      <c r="J1393" s="128">
        <v>0</v>
      </c>
      <c r="K1393" s="133">
        <v>46539</v>
      </c>
    </row>
    <row r="1394" spans="1:11" s="3" customFormat="1" ht="33.6" customHeight="1" x14ac:dyDescent="0.25">
      <c r="A1394" s="100">
        <v>2</v>
      </c>
      <c r="B1394" s="162"/>
      <c r="C1394" s="10" t="s">
        <v>1969</v>
      </c>
      <c r="D1394" s="2" t="s">
        <v>1966</v>
      </c>
      <c r="E1394" s="131" t="s">
        <v>1964</v>
      </c>
      <c r="F1394" s="132">
        <v>1400</v>
      </c>
      <c r="G1394" s="128">
        <v>0</v>
      </c>
      <c r="H1394" s="132">
        <v>1400</v>
      </c>
      <c r="I1394" s="128">
        <v>0</v>
      </c>
      <c r="J1394" s="128">
        <v>0</v>
      </c>
      <c r="K1394" s="133">
        <v>46539</v>
      </c>
    </row>
    <row r="1395" spans="1:11" s="3" customFormat="1" ht="42.6" customHeight="1" x14ac:dyDescent="0.25">
      <c r="A1395" s="100">
        <v>3</v>
      </c>
      <c r="B1395" s="163"/>
      <c r="C1395" s="10" t="s">
        <v>1970</v>
      </c>
      <c r="D1395" s="137" t="s">
        <v>1967</v>
      </c>
      <c r="E1395" s="2" t="s">
        <v>1964</v>
      </c>
      <c r="F1395" s="132">
        <v>613.04</v>
      </c>
      <c r="G1395" s="128">
        <v>0</v>
      </c>
      <c r="H1395" s="132">
        <v>613.04</v>
      </c>
      <c r="I1395" s="128">
        <v>0</v>
      </c>
      <c r="J1395" s="128">
        <v>0</v>
      </c>
      <c r="K1395" s="133">
        <v>46508</v>
      </c>
    </row>
    <row r="1396" spans="1:11" s="3" customFormat="1" ht="19.5" customHeight="1" x14ac:dyDescent="0.25">
      <c r="A1396" s="160" t="s">
        <v>20</v>
      </c>
      <c r="B1396" s="160"/>
      <c r="C1396" s="160"/>
      <c r="D1396" s="160"/>
      <c r="E1396" s="134"/>
      <c r="F1396" s="135">
        <f t="shared" ref="F1396" si="162">SUM(F1393:F1395)</f>
        <v>3453.04</v>
      </c>
      <c r="G1396" s="128">
        <v>0</v>
      </c>
      <c r="H1396" s="135">
        <f>SUM(H1393:H1395)</f>
        <v>3453.04</v>
      </c>
      <c r="I1396" s="128">
        <v>0</v>
      </c>
      <c r="J1396" s="128">
        <v>0</v>
      </c>
      <c r="K1396" s="138"/>
    </row>
    <row r="1397" spans="1:11" s="3" customFormat="1" ht="32.450000000000003" customHeight="1" x14ac:dyDescent="0.25">
      <c r="A1397" s="100">
        <v>1</v>
      </c>
      <c r="B1397" s="161" t="s">
        <v>1961</v>
      </c>
      <c r="C1397" s="10" t="s">
        <v>1971</v>
      </c>
      <c r="D1397" s="2" t="s">
        <v>1963</v>
      </c>
      <c r="E1397" s="131" t="s">
        <v>1964</v>
      </c>
      <c r="F1397" s="132">
        <v>1440</v>
      </c>
      <c r="G1397" s="128">
        <v>0</v>
      </c>
      <c r="H1397" s="128">
        <v>0</v>
      </c>
      <c r="I1397" s="132">
        <v>1440</v>
      </c>
      <c r="J1397" s="128">
        <v>0</v>
      </c>
      <c r="K1397" s="133">
        <v>46905</v>
      </c>
    </row>
    <row r="1398" spans="1:11" s="3" customFormat="1" ht="34.15" customHeight="1" x14ac:dyDescent="0.25">
      <c r="A1398" s="100">
        <v>2</v>
      </c>
      <c r="B1398" s="162"/>
      <c r="C1398" s="10" t="s">
        <v>1972</v>
      </c>
      <c r="D1398" s="2" t="s">
        <v>1966</v>
      </c>
      <c r="E1398" s="131" t="s">
        <v>1964</v>
      </c>
      <c r="F1398" s="132">
        <v>1400</v>
      </c>
      <c r="G1398" s="128">
        <v>0</v>
      </c>
      <c r="H1398" s="128">
        <v>0</v>
      </c>
      <c r="I1398" s="132">
        <v>1400</v>
      </c>
      <c r="J1398" s="128">
        <v>0</v>
      </c>
      <c r="K1398" s="133">
        <v>46905</v>
      </c>
    </row>
    <row r="1399" spans="1:11" s="3" customFormat="1" ht="42.6" customHeight="1" x14ac:dyDescent="0.25">
      <c r="A1399" s="139">
        <v>3</v>
      </c>
      <c r="B1399" s="163"/>
      <c r="C1399" s="10" t="s">
        <v>1973</v>
      </c>
      <c r="D1399" s="137" t="s">
        <v>1967</v>
      </c>
      <c r="E1399" s="2" t="s">
        <v>1964</v>
      </c>
      <c r="F1399" s="132">
        <v>613.04</v>
      </c>
      <c r="G1399" s="128">
        <v>0</v>
      </c>
      <c r="H1399" s="128">
        <v>0</v>
      </c>
      <c r="I1399" s="132">
        <v>613.04</v>
      </c>
      <c r="J1399" s="128">
        <v>0</v>
      </c>
      <c r="K1399" s="133">
        <v>46874</v>
      </c>
    </row>
    <row r="1400" spans="1:11" s="3" customFormat="1" ht="18" customHeight="1" x14ac:dyDescent="0.25">
      <c r="A1400" s="160" t="s">
        <v>21</v>
      </c>
      <c r="B1400" s="160"/>
      <c r="C1400" s="160"/>
      <c r="D1400" s="160"/>
      <c r="E1400" s="140"/>
      <c r="F1400" s="135">
        <f t="shared" ref="F1400" si="163">SUM(F1397:F1399)</f>
        <v>3453.04</v>
      </c>
      <c r="G1400" s="128">
        <v>0</v>
      </c>
      <c r="H1400" s="128">
        <v>0</v>
      </c>
      <c r="I1400" s="135">
        <f>SUM(I1397:I1399)</f>
        <v>3453.04</v>
      </c>
      <c r="J1400" s="128">
        <v>0</v>
      </c>
      <c r="K1400" s="140"/>
    </row>
    <row r="1401" spans="1:11" ht="38.450000000000003" customHeight="1" x14ac:dyDescent="0.25">
      <c r="A1401" s="141" t="s">
        <v>689</v>
      </c>
      <c r="B1401" s="171"/>
      <c r="C1401" s="141" t="s">
        <v>1983</v>
      </c>
      <c r="D1401" s="141" t="s">
        <v>1984</v>
      </c>
      <c r="E1401" s="142" t="s">
        <v>1976</v>
      </c>
      <c r="F1401" s="143" t="s">
        <v>1985</v>
      </c>
      <c r="G1401" s="143" t="s">
        <v>1985</v>
      </c>
      <c r="H1401" s="128">
        <v>0</v>
      </c>
      <c r="I1401" s="128">
        <v>0</v>
      </c>
      <c r="J1401" s="128">
        <v>0</v>
      </c>
      <c r="K1401" s="133">
        <v>46266</v>
      </c>
    </row>
    <row r="1402" spans="1:11" ht="48.6" customHeight="1" x14ac:dyDescent="0.25">
      <c r="A1402" s="141" t="s">
        <v>693</v>
      </c>
      <c r="B1402" s="171"/>
      <c r="C1402" s="141" t="s">
        <v>1986</v>
      </c>
      <c r="D1402" s="141" t="s">
        <v>1987</v>
      </c>
      <c r="E1402" s="142" t="s">
        <v>1976</v>
      </c>
      <c r="F1402" s="143" t="s">
        <v>1982</v>
      </c>
      <c r="G1402" s="143" t="s">
        <v>1982</v>
      </c>
      <c r="H1402" s="128">
        <v>0</v>
      </c>
      <c r="I1402" s="128">
        <v>0</v>
      </c>
      <c r="J1402" s="128">
        <v>0</v>
      </c>
      <c r="K1402" s="133">
        <v>46266</v>
      </c>
    </row>
    <row r="1403" spans="1:11" ht="18.600000000000001" customHeight="1" x14ac:dyDescent="0.25">
      <c r="A1403" s="191" t="s">
        <v>1991</v>
      </c>
      <c r="B1403" s="192"/>
      <c r="C1403" s="192"/>
      <c r="D1403" s="193"/>
      <c r="E1403" s="142"/>
      <c r="F1403" s="144">
        <f>F1402+F1401</f>
        <v>200</v>
      </c>
      <c r="G1403" s="144">
        <f>G1402+G1401</f>
        <v>200</v>
      </c>
      <c r="H1403" s="128">
        <v>0</v>
      </c>
      <c r="I1403" s="128">
        <v>0</v>
      </c>
      <c r="J1403" s="128">
        <v>0</v>
      </c>
      <c r="K1403" s="133"/>
    </row>
    <row r="1404" spans="1:11" ht="30" customHeight="1" x14ac:dyDescent="0.25">
      <c r="A1404" s="141" t="s">
        <v>689</v>
      </c>
      <c r="B1404" s="182" t="s">
        <v>1974</v>
      </c>
      <c r="C1404" s="141" t="s">
        <v>1992</v>
      </c>
      <c r="D1404" s="141" t="s">
        <v>1993</v>
      </c>
      <c r="E1404" s="142" t="s">
        <v>1976</v>
      </c>
      <c r="F1404" s="143" t="s">
        <v>1988</v>
      </c>
      <c r="G1404" s="128">
        <v>0</v>
      </c>
      <c r="H1404" s="143" t="s">
        <v>1988</v>
      </c>
      <c r="I1404" s="128">
        <v>0</v>
      </c>
      <c r="J1404" s="128">
        <v>0</v>
      </c>
      <c r="K1404" s="133">
        <v>46327</v>
      </c>
    </row>
    <row r="1405" spans="1:11" ht="48" customHeight="1" x14ac:dyDescent="0.25">
      <c r="A1405" s="141" t="s">
        <v>693</v>
      </c>
      <c r="B1405" s="183"/>
      <c r="C1405" s="141" t="s">
        <v>1994</v>
      </c>
      <c r="D1405" s="141" t="s">
        <v>1995</v>
      </c>
      <c r="E1405" s="142" t="s">
        <v>1989</v>
      </c>
      <c r="F1405" s="145" t="s">
        <v>1996</v>
      </c>
      <c r="G1405" s="128">
        <v>0</v>
      </c>
      <c r="H1405" s="145" t="s">
        <v>1996</v>
      </c>
      <c r="I1405" s="128">
        <v>0</v>
      </c>
      <c r="J1405" s="128">
        <v>0</v>
      </c>
      <c r="K1405" s="133">
        <v>46296</v>
      </c>
    </row>
    <row r="1406" spans="1:11" ht="39.75" customHeight="1" x14ac:dyDescent="0.25">
      <c r="A1406" s="141" t="s">
        <v>12</v>
      </c>
      <c r="B1406" s="183"/>
      <c r="C1406" s="141" t="s">
        <v>1997</v>
      </c>
      <c r="D1406" s="141" t="s">
        <v>1998</v>
      </c>
      <c r="E1406" s="142" t="s">
        <v>1989</v>
      </c>
      <c r="F1406" s="145" t="s">
        <v>1999</v>
      </c>
      <c r="G1406" s="128">
        <v>0</v>
      </c>
      <c r="H1406" s="145" t="s">
        <v>1999</v>
      </c>
      <c r="I1406" s="128">
        <v>0</v>
      </c>
      <c r="J1406" s="128">
        <v>0</v>
      </c>
      <c r="K1406" s="133">
        <v>46296</v>
      </c>
    </row>
    <row r="1407" spans="1:11" ht="39.75" customHeight="1" x14ac:dyDescent="0.25">
      <c r="A1407" s="141" t="s">
        <v>13</v>
      </c>
      <c r="B1407" s="183"/>
      <c r="C1407" s="141" t="s">
        <v>2000</v>
      </c>
      <c r="D1407" s="141" t="s">
        <v>2001</v>
      </c>
      <c r="E1407" s="142" t="s">
        <v>1989</v>
      </c>
      <c r="F1407" s="145" t="s">
        <v>1999</v>
      </c>
      <c r="G1407" s="128">
        <v>0</v>
      </c>
      <c r="H1407" s="145" t="s">
        <v>1999</v>
      </c>
      <c r="I1407" s="128">
        <v>0</v>
      </c>
      <c r="J1407" s="128">
        <v>0</v>
      </c>
      <c r="K1407" s="133" t="s">
        <v>2002</v>
      </c>
    </row>
    <row r="1408" spans="1:11" ht="39" customHeight="1" x14ac:dyDescent="0.25">
      <c r="A1408" s="141" t="s">
        <v>18</v>
      </c>
      <c r="B1408" s="183"/>
      <c r="C1408" s="141" t="s">
        <v>2003</v>
      </c>
      <c r="D1408" s="141" t="s">
        <v>2001</v>
      </c>
      <c r="E1408" s="142" t="s">
        <v>1989</v>
      </c>
      <c r="F1408" s="145" t="s">
        <v>2004</v>
      </c>
      <c r="G1408" s="128">
        <v>0</v>
      </c>
      <c r="H1408" s="145" t="s">
        <v>2004</v>
      </c>
      <c r="I1408" s="128">
        <v>0</v>
      </c>
      <c r="J1408" s="128">
        <v>0</v>
      </c>
      <c r="K1408" s="133">
        <v>46296</v>
      </c>
    </row>
    <row r="1409" spans="1:11" ht="50.25" customHeight="1" x14ac:dyDescent="0.25">
      <c r="A1409" s="141" t="s">
        <v>702</v>
      </c>
      <c r="B1409" s="183"/>
      <c r="C1409" s="141" t="s">
        <v>2005</v>
      </c>
      <c r="D1409" s="141" t="s">
        <v>2006</v>
      </c>
      <c r="E1409" s="142" t="s">
        <v>1989</v>
      </c>
      <c r="F1409" s="145" t="s">
        <v>2007</v>
      </c>
      <c r="G1409" s="128">
        <v>0</v>
      </c>
      <c r="H1409" s="145" t="s">
        <v>2007</v>
      </c>
      <c r="I1409" s="128">
        <v>0</v>
      </c>
      <c r="J1409" s="128">
        <v>0</v>
      </c>
      <c r="K1409" s="133">
        <v>46327</v>
      </c>
    </row>
    <row r="1410" spans="1:11" ht="47.45" customHeight="1" x14ac:dyDescent="0.25">
      <c r="A1410" s="141" t="s">
        <v>705</v>
      </c>
      <c r="B1410" s="183"/>
      <c r="C1410" s="141" t="s">
        <v>2008</v>
      </c>
      <c r="D1410" s="141" t="s">
        <v>1995</v>
      </c>
      <c r="E1410" s="142" t="s">
        <v>1989</v>
      </c>
      <c r="F1410" s="145" t="s">
        <v>2009</v>
      </c>
      <c r="G1410" s="128">
        <v>0</v>
      </c>
      <c r="H1410" s="145" t="s">
        <v>2009</v>
      </c>
      <c r="I1410" s="128">
        <v>0</v>
      </c>
      <c r="J1410" s="128">
        <v>0</v>
      </c>
      <c r="K1410" s="133">
        <v>46327</v>
      </c>
    </row>
    <row r="1411" spans="1:11" ht="47.25" customHeight="1" x14ac:dyDescent="0.25">
      <c r="A1411" s="141" t="s">
        <v>707</v>
      </c>
      <c r="B1411" s="183"/>
      <c r="C1411" s="141" t="s">
        <v>2010</v>
      </c>
      <c r="D1411" s="141" t="s">
        <v>2011</v>
      </c>
      <c r="E1411" s="142" t="s">
        <v>1989</v>
      </c>
      <c r="F1411" s="145" t="s">
        <v>2007</v>
      </c>
      <c r="G1411" s="128">
        <v>0</v>
      </c>
      <c r="H1411" s="145" t="s">
        <v>2007</v>
      </c>
      <c r="I1411" s="128">
        <v>0</v>
      </c>
      <c r="J1411" s="128">
        <v>0</v>
      </c>
      <c r="K1411" s="133">
        <v>46327</v>
      </c>
    </row>
    <row r="1412" spans="1:11" ht="49.5" customHeight="1" x14ac:dyDescent="0.25">
      <c r="A1412" s="141" t="s">
        <v>710</v>
      </c>
      <c r="B1412" s="183"/>
      <c r="C1412" s="141" t="s">
        <v>2012</v>
      </c>
      <c r="D1412" s="141" t="s">
        <v>2006</v>
      </c>
      <c r="E1412" s="142" t="s">
        <v>1989</v>
      </c>
      <c r="F1412" s="145" t="s">
        <v>2013</v>
      </c>
      <c r="G1412" s="128">
        <v>0</v>
      </c>
      <c r="H1412" s="145" t="s">
        <v>2013</v>
      </c>
      <c r="I1412" s="128">
        <v>0</v>
      </c>
      <c r="J1412" s="128">
        <v>0</v>
      </c>
      <c r="K1412" s="133">
        <v>46327</v>
      </c>
    </row>
    <row r="1413" spans="1:11" ht="49.15" customHeight="1" x14ac:dyDescent="0.25">
      <c r="A1413" s="141" t="s">
        <v>714</v>
      </c>
      <c r="B1413" s="183"/>
      <c r="C1413" s="146" t="s">
        <v>2014</v>
      </c>
      <c r="D1413" s="146" t="s">
        <v>2001</v>
      </c>
      <c r="E1413" s="147" t="s">
        <v>1989</v>
      </c>
      <c r="F1413" s="145" t="s">
        <v>2013</v>
      </c>
      <c r="G1413" s="128">
        <v>0</v>
      </c>
      <c r="H1413" s="145" t="s">
        <v>2013</v>
      </c>
      <c r="I1413" s="128">
        <v>0</v>
      </c>
      <c r="J1413" s="128">
        <v>0</v>
      </c>
      <c r="K1413" s="133">
        <v>46327</v>
      </c>
    </row>
    <row r="1414" spans="1:11" ht="29.25" customHeight="1" x14ac:dyDescent="0.25">
      <c r="A1414" s="141" t="s">
        <v>14</v>
      </c>
      <c r="B1414" s="183"/>
      <c r="C1414" s="148" t="s">
        <v>2015</v>
      </c>
      <c r="D1414" s="148" t="s">
        <v>1979</v>
      </c>
      <c r="E1414" s="149" t="s">
        <v>1976</v>
      </c>
      <c r="F1414" s="145" t="s">
        <v>1980</v>
      </c>
      <c r="G1414" s="128">
        <v>0</v>
      </c>
      <c r="H1414" s="145" t="s">
        <v>1980</v>
      </c>
      <c r="I1414" s="128">
        <v>0</v>
      </c>
      <c r="J1414" s="128">
        <v>0</v>
      </c>
      <c r="K1414" s="133">
        <v>46447</v>
      </c>
    </row>
    <row r="1415" spans="1:11" ht="29.25" customHeight="1" x14ac:dyDescent="0.25">
      <c r="A1415" s="141" t="s">
        <v>719</v>
      </c>
      <c r="B1415" s="183"/>
      <c r="C1415" s="148" t="s">
        <v>2016</v>
      </c>
      <c r="D1415" s="148" t="s">
        <v>103</v>
      </c>
      <c r="E1415" s="149" t="s">
        <v>1976</v>
      </c>
      <c r="F1415" s="145" t="s">
        <v>1990</v>
      </c>
      <c r="G1415" s="128">
        <v>0</v>
      </c>
      <c r="H1415" s="145" t="s">
        <v>1990</v>
      </c>
      <c r="I1415" s="128">
        <v>0</v>
      </c>
      <c r="J1415" s="128">
        <v>0</v>
      </c>
      <c r="K1415" s="133">
        <v>46478</v>
      </c>
    </row>
    <row r="1416" spans="1:11" ht="36.75" customHeight="1" x14ac:dyDescent="0.25">
      <c r="A1416" s="141" t="s">
        <v>722</v>
      </c>
      <c r="B1416" s="183"/>
      <c r="C1416" s="148" t="s">
        <v>2017</v>
      </c>
      <c r="D1416" s="148" t="s">
        <v>1977</v>
      </c>
      <c r="E1416" s="149" t="s">
        <v>1976</v>
      </c>
      <c r="F1416" s="145" t="s">
        <v>1978</v>
      </c>
      <c r="G1416" s="128">
        <v>0</v>
      </c>
      <c r="H1416" s="145" t="s">
        <v>1978</v>
      </c>
      <c r="I1416" s="128">
        <v>0</v>
      </c>
      <c r="J1416" s="128">
        <v>0</v>
      </c>
      <c r="K1416" s="133">
        <v>46478</v>
      </c>
    </row>
    <row r="1417" spans="1:11" ht="29.25" customHeight="1" x14ac:dyDescent="0.25">
      <c r="A1417" s="141" t="s">
        <v>724</v>
      </c>
      <c r="B1417" s="183"/>
      <c r="C1417" s="148" t="s">
        <v>2018</v>
      </c>
      <c r="D1417" s="148" t="s">
        <v>1981</v>
      </c>
      <c r="E1417" s="149" t="s">
        <v>1976</v>
      </c>
      <c r="F1417" s="145" t="s">
        <v>1982</v>
      </c>
      <c r="G1417" s="128">
        <v>0</v>
      </c>
      <c r="H1417" s="145" t="s">
        <v>1982</v>
      </c>
      <c r="I1417" s="128">
        <v>0</v>
      </c>
      <c r="J1417" s="128">
        <v>0</v>
      </c>
      <c r="K1417" s="133">
        <v>46508</v>
      </c>
    </row>
    <row r="1418" spans="1:11" ht="43.5" customHeight="1" x14ac:dyDescent="0.25">
      <c r="A1418" s="141" t="s">
        <v>727</v>
      </c>
      <c r="B1418" s="183"/>
      <c r="C1418" s="148" t="s">
        <v>2019</v>
      </c>
      <c r="D1418" s="148" t="s">
        <v>1975</v>
      </c>
      <c r="E1418" s="149" t="s">
        <v>1976</v>
      </c>
      <c r="F1418" s="145" t="s">
        <v>2020</v>
      </c>
      <c r="G1418" s="128">
        <v>0</v>
      </c>
      <c r="H1418" s="145" t="s">
        <v>2020</v>
      </c>
      <c r="I1418" s="128">
        <v>0</v>
      </c>
      <c r="J1418" s="128">
        <v>0</v>
      </c>
      <c r="K1418" s="133">
        <v>46508</v>
      </c>
    </row>
    <row r="1419" spans="1:11" ht="40.5" customHeight="1" x14ac:dyDescent="0.25">
      <c r="A1419" s="141" t="s">
        <v>730</v>
      </c>
      <c r="B1419" s="183"/>
      <c r="C1419" s="148" t="s">
        <v>2021</v>
      </c>
      <c r="D1419" s="148" t="s">
        <v>1984</v>
      </c>
      <c r="E1419" s="149" t="s">
        <v>1976</v>
      </c>
      <c r="F1419" s="145" t="s">
        <v>2022</v>
      </c>
      <c r="G1419" s="128">
        <v>0</v>
      </c>
      <c r="H1419" s="145" t="s">
        <v>2022</v>
      </c>
      <c r="I1419" s="128">
        <v>0</v>
      </c>
      <c r="J1419" s="128">
        <v>0</v>
      </c>
      <c r="K1419" s="133">
        <v>46631</v>
      </c>
    </row>
    <row r="1420" spans="1:11" ht="42.75" customHeight="1" x14ac:dyDescent="0.25">
      <c r="A1420" s="141" t="s">
        <v>733</v>
      </c>
      <c r="B1420" s="184"/>
      <c r="C1420" s="148" t="s">
        <v>2023</v>
      </c>
      <c r="D1420" s="148" t="s">
        <v>1987</v>
      </c>
      <c r="E1420" s="149" t="s">
        <v>1976</v>
      </c>
      <c r="F1420" s="145" t="s">
        <v>1982</v>
      </c>
      <c r="G1420" s="128">
        <v>0</v>
      </c>
      <c r="H1420" s="145" t="s">
        <v>1982</v>
      </c>
      <c r="I1420" s="128">
        <v>0</v>
      </c>
      <c r="J1420" s="128">
        <v>0</v>
      </c>
      <c r="K1420" s="133">
        <v>46631</v>
      </c>
    </row>
    <row r="1421" spans="1:11" ht="21" customHeight="1" x14ac:dyDescent="0.25">
      <c r="A1421" s="164" t="s">
        <v>20</v>
      </c>
      <c r="B1421" s="165"/>
      <c r="C1421" s="165"/>
      <c r="D1421" s="165"/>
      <c r="E1421" s="166"/>
      <c r="F1421" s="144" t="s">
        <v>2024</v>
      </c>
      <c r="G1421" s="128">
        <v>0</v>
      </c>
      <c r="H1421" s="150" t="s">
        <v>2024</v>
      </c>
      <c r="I1421" s="128">
        <v>0</v>
      </c>
      <c r="J1421" s="128">
        <v>0</v>
      </c>
      <c r="K1421" s="133"/>
    </row>
    <row r="1422" spans="1:11" ht="48" customHeight="1" x14ac:dyDescent="0.25">
      <c r="A1422" s="141" t="s">
        <v>689</v>
      </c>
      <c r="B1422" s="167" t="s">
        <v>1974</v>
      </c>
      <c r="C1422" s="148" t="s">
        <v>2025</v>
      </c>
      <c r="D1422" s="148" t="s">
        <v>2026</v>
      </c>
      <c r="E1422" s="149" t="s">
        <v>1989</v>
      </c>
      <c r="F1422" s="145" t="s">
        <v>2004</v>
      </c>
      <c r="G1422" s="128">
        <v>0</v>
      </c>
      <c r="H1422" s="128">
        <v>0</v>
      </c>
      <c r="I1422" s="145" t="s">
        <v>2004</v>
      </c>
      <c r="J1422" s="128">
        <v>0</v>
      </c>
      <c r="K1422" s="133">
        <v>46661</v>
      </c>
    </row>
    <row r="1423" spans="1:11" ht="48" customHeight="1" x14ac:dyDescent="0.25">
      <c r="A1423" s="141" t="s">
        <v>693</v>
      </c>
      <c r="B1423" s="168"/>
      <c r="C1423" s="148" t="s">
        <v>2027</v>
      </c>
      <c r="D1423" s="148" t="s">
        <v>2028</v>
      </c>
      <c r="E1423" s="149" t="s">
        <v>1989</v>
      </c>
      <c r="F1423" s="145" t="s">
        <v>2013</v>
      </c>
      <c r="G1423" s="128">
        <v>0</v>
      </c>
      <c r="H1423" s="128">
        <v>0</v>
      </c>
      <c r="I1423" s="145" t="s">
        <v>2013</v>
      </c>
      <c r="J1423" s="128">
        <v>0</v>
      </c>
      <c r="K1423" s="133">
        <v>46661</v>
      </c>
    </row>
    <row r="1424" spans="1:11" ht="48" customHeight="1" x14ac:dyDescent="0.25">
      <c r="A1424" s="141" t="s">
        <v>12</v>
      </c>
      <c r="B1424" s="168"/>
      <c r="C1424" s="148" t="s">
        <v>2029</v>
      </c>
      <c r="D1424" s="148" t="s">
        <v>2028</v>
      </c>
      <c r="E1424" s="149" t="s">
        <v>1989</v>
      </c>
      <c r="F1424" s="145" t="s">
        <v>2007</v>
      </c>
      <c r="G1424" s="128">
        <v>0</v>
      </c>
      <c r="H1424" s="128">
        <v>0</v>
      </c>
      <c r="I1424" s="145" t="s">
        <v>2007</v>
      </c>
      <c r="J1424" s="128">
        <v>0</v>
      </c>
      <c r="K1424" s="133" t="s">
        <v>2030</v>
      </c>
    </row>
    <row r="1425" spans="1:11" ht="30" customHeight="1" x14ac:dyDescent="0.25">
      <c r="A1425" s="141" t="s">
        <v>13</v>
      </c>
      <c r="B1425" s="168"/>
      <c r="C1425" s="148" t="s">
        <v>2031</v>
      </c>
      <c r="D1425" s="148" t="s">
        <v>2032</v>
      </c>
      <c r="E1425" s="149" t="s">
        <v>1976</v>
      </c>
      <c r="F1425" s="145" t="s">
        <v>1988</v>
      </c>
      <c r="G1425" s="128">
        <v>0</v>
      </c>
      <c r="H1425" s="128">
        <v>0</v>
      </c>
      <c r="I1425" s="145" t="s">
        <v>1988</v>
      </c>
      <c r="J1425" s="128">
        <v>0</v>
      </c>
      <c r="K1425" s="133">
        <v>46692</v>
      </c>
    </row>
    <row r="1426" spans="1:11" ht="48" customHeight="1" x14ac:dyDescent="0.25">
      <c r="A1426" s="141" t="s">
        <v>18</v>
      </c>
      <c r="B1426" s="168"/>
      <c r="C1426" s="148" t="s">
        <v>2033</v>
      </c>
      <c r="D1426" s="148" t="s">
        <v>2034</v>
      </c>
      <c r="E1426" s="149" t="s">
        <v>1989</v>
      </c>
      <c r="F1426" s="145" t="s">
        <v>2007</v>
      </c>
      <c r="G1426" s="128">
        <v>0</v>
      </c>
      <c r="H1426" s="128">
        <v>0</v>
      </c>
      <c r="I1426" s="145" t="s">
        <v>2007</v>
      </c>
      <c r="J1426" s="128">
        <v>0</v>
      </c>
      <c r="K1426" s="133">
        <v>46692</v>
      </c>
    </row>
    <row r="1427" spans="1:11" ht="48" customHeight="1" x14ac:dyDescent="0.25">
      <c r="A1427" s="141" t="s">
        <v>702</v>
      </c>
      <c r="B1427" s="168"/>
      <c r="C1427" s="148" t="s">
        <v>2035</v>
      </c>
      <c r="D1427" s="148" t="s">
        <v>2026</v>
      </c>
      <c r="E1427" s="149" t="s">
        <v>1989</v>
      </c>
      <c r="F1427" s="145" t="s">
        <v>1999</v>
      </c>
      <c r="G1427" s="128">
        <v>0</v>
      </c>
      <c r="H1427" s="128">
        <v>0</v>
      </c>
      <c r="I1427" s="145" t="s">
        <v>1999</v>
      </c>
      <c r="J1427" s="128">
        <v>0</v>
      </c>
      <c r="K1427" s="133">
        <v>46661</v>
      </c>
    </row>
    <row r="1428" spans="1:11" ht="48" customHeight="1" x14ac:dyDescent="0.25">
      <c r="A1428" s="141" t="s">
        <v>705</v>
      </c>
      <c r="B1428" s="168"/>
      <c r="C1428" s="148" t="s">
        <v>2036</v>
      </c>
      <c r="D1428" s="148" t="s">
        <v>2037</v>
      </c>
      <c r="E1428" s="149" t="s">
        <v>1989</v>
      </c>
      <c r="F1428" s="145" t="s">
        <v>2009</v>
      </c>
      <c r="G1428" s="128">
        <v>0</v>
      </c>
      <c r="H1428" s="128">
        <v>0</v>
      </c>
      <c r="I1428" s="145" t="s">
        <v>2009</v>
      </c>
      <c r="J1428" s="128">
        <v>0</v>
      </c>
      <c r="K1428" s="133">
        <v>46661</v>
      </c>
    </row>
    <row r="1429" spans="1:11" ht="48" customHeight="1" x14ac:dyDescent="0.25">
      <c r="A1429" s="141" t="s">
        <v>707</v>
      </c>
      <c r="B1429" s="168"/>
      <c r="C1429" s="148" t="s">
        <v>2038</v>
      </c>
      <c r="D1429" s="148" t="s">
        <v>2037</v>
      </c>
      <c r="E1429" s="149" t="s">
        <v>1989</v>
      </c>
      <c r="F1429" s="145" t="s">
        <v>1996</v>
      </c>
      <c r="G1429" s="128">
        <v>0</v>
      </c>
      <c r="H1429" s="128">
        <v>0</v>
      </c>
      <c r="I1429" s="145" t="s">
        <v>1996</v>
      </c>
      <c r="J1429" s="128">
        <v>0</v>
      </c>
      <c r="K1429" s="133">
        <v>46661</v>
      </c>
    </row>
    <row r="1430" spans="1:11" ht="48" customHeight="1" x14ac:dyDescent="0.25">
      <c r="A1430" s="141" t="s">
        <v>710</v>
      </c>
      <c r="B1430" s="168"/>
      <c r="C1430" s="148" t="s">
        <v>2039</v>
      </c>
      <c r="D1430" s="148" t="s">
        <v>2026</v>
      </c>
      <c r="E1430" s="149" t="s">
        <v>1989</v>
      </c>
      <c r="F1430" s="145" t="s">
        <v>2013</v>
      </c>
      <c r="G1430" s="128">
        <v>0</v>
      </c>
      <c r="H1430" s="128">
        <v>0</v>
      </c>
      <c r="I1430" s="145" t="s">
        <v>2013</v>
      </c>
      <c r="J1430" s="128">
        <v>0</v>
      </c>
      <c r="K1430" s="133">
        <v>46692</v>
      </c>
    </row>
    <row r="1431" spans="1:11" ht="38.25" customHeight="1" x14ac:dyDescent="0.25">
      <c r="A1431" s="141" t="s">
        <v>714</v>
      </c>
      <c r="B1431" s="168"/>
      <c r="C1431" s="148" t="s">
        <v>2040</v>
      </c>
      <c r="D1431" s="148" t="s">
        <v>2041</v>
      </c>
      <c r="E1431" s="149" t="s">
        <v>1989</v>
      </c>
      <c r="F1431" s="145" t="s">
        <v>1999</v>
      </c>
      <c r="G1431" s="128">
        <v>0</v>
      </c>
      <c r="H1431" s="128">
        <v>0</v>
      </c>
      <c r="I1431" s="145" t="s">
        <v>1999</v>
      </c>
      <c r="J1431" s="128">
        <v>0</v>
      </c>
      <c r="K1431" s="133">
        <v>46692</v>
      </c>
    </row>
    <row r="1432" spans="1:11" ht="38.25" customHeight="1" x14ac:dyDescent="0.25">
      <c r="A1432" s="141" t="s">
        <v>14</v>
      </c>
      <c r="B1432" s="168"/>
      <c r="C1432" s="148" t="s">
        <v>2042</v>
      </c>
      <c r="D1432" s="148" t="s">
        <v>1975</v>
      </c>
      <c r="E1432" s="149" t="s">
        <v>1976</v>
      </c>
      <c r="F1432" s="145" t="s">
        <v>2020</v>
      </c>
      <c r="G1432" s="128">
        <v>0</v>
      </c>
      <c r="H1432" s="128">
        <v>0</v>
      </c>
      <c r="I1432" s="145" t="s">
        <v>2020</v>
      </c>
      <c r="J1432" s="128">
        <v>0</v>
      </c>
      <c r="K1432" s="133">
        <v>46874</v>
      </c>
    </row>
    <row r="1433" spans="1:11" ht="29.25" customHeight="1" x14ac:dyDescent="0.25">
      <c r="A1433" s="141" t="s">
        <v>719</v>
      </c>
      <c r="B1433" s="168"/>
      <c r="C1433" s="148" t="s">
        <v>2043</v>
      </c>
      <c r="D1433" s="148" t="s">
        <v>1979</v>
      </c>
      <c r="E1433" s="149" t="s">
        <v>1976</v>
      </c>
      <c r="F1433" s="145" t="s">
        <v>1980</v>
      </c>
      <c r="G1433" s="128">
        <v>0</v>
      </c>
      <c r="H1433" s="128">
        <v>0</v>
      </c>
      <c r="I1433" s="145" t="s">
        <v>1980</v>
      </c>
      <c r="J1433" s="128">
        <v>0</v>
      </c>
      <c r="K1433" s="133">
        <v>46874</v>
      </c>
    </row>
    <row r="1434" spans="1:11" ht="33.75" customHeight="1" x14ac:dyDescent="0.25">
      <c r="A1434" s="141" t="s">
        <v>722</v>
      </c>
      <c r="B1434" s="168"/>
      <c r="C1434" s="148" t="s">
        <v>2044</v>
      </c>
      <c r="D1434" s="148" t="s">
        <v>1981</v>
      </c>
      <c r="E1434" s="149" t="s">
        <v>1976</v>
      </c>
      <c r="F1434" s="145" t="s">
        <v>1982</v>
      </c>
      <c r="G1434" s="128">
        <v>0</v>
      </c>
      <c r="H1434" s="128">
        <v>0</v>
      </c>
      <c r="I1434" s="145" t="s">
        <v>1982</v>
      </c>
      <c r="J1434" s="128">
        <v>0</v>
      </c>
      <c r="K1434" s="133">
        <v>46874</v>
      </c>
    </row>
    <row r="1435" spans="1:11" ht="45" customHeight="1" x14ac:dyDescent="0.25">
      <c r="A1435" s="141" t="s">
        <v>724</v>
      </c>
      <c r="B1435" s="168"/>
      <c r="C1435" s="148" t="s">
        <v>2045</v>
      </c>
      <c r="D1435" s="148" t="s">
        <v>1987</v>
      </c>
      <c r="E1435" s="149" t="s">
        <v>1976</v>
      </c>
      <c r="F1435" s="145" t="s">
        <v>1982</v>
      </c>
      <c r="G1435" s="128">
        <v>0</v>
      </c>
      <c r="H1435" s="128">
        <v>0</v>
      </c>
      <c r="I1435" s="145" t="s">
        <v>1982</v>
      </c>
      <c r="J1435" s="128">
        <v>0</v>
      </c>
      <c r="K1435" s="133">
        <v>46997</v>
      </c>
    </row>
    <row r="1436" spans="1:11" ht="43.5" customHeight="1" x14ac:dyDescent="0.25">
      <c r="A1436" s="141" t="s">
        <v>727</v>
      </c>
      <c r="B1436" s="168"/>
      <c r="C1436" s="148" t="s">
        <v>2046</v>
      </c>
      <c r="D1436" s="148" t="s">
        <v>1977</v>
      </c>
      <c r="E1436" s="149" t="s">
        <v>1976</v>
      </c>
      <c r="F1436" s="145" t="s">
        <v>1978</v>
      </c>
      <c r="G1436" s="128">
        <v>0</v>
      </c>
      <c r="H1436" s="128">
        <v>0</v>
      </c>
      <c r="I1436" s="145" t="s">
        <v>1978</v>
      </c>
      <c r="J1436" s="128">
        <v>0</v>
      </c>
      <c r="K1436" s="133">
        <v>46844</v>
      </c>
    </row>
    <row r="1437" spans="1:11" ht="36" customHeight="1" x14ac:dyDescent="0.25">
      <c r="A1437" s="141" t="s">
        <v>730</v>
      </c>
      <c r="B1437" s="168"/>
      <c r="C1437" s="148" t="s">
        <v>2047</v>
      </c>
      <c r="D1437" s="148" t="s">
        <v>1984</v>
      </c>
      <c r="E1437" s="149" t="s">
        <v>1976</v>
      </c>
      <c r="F1437" s="145" t="s">
        <v>1985</v>
      </c>
      <c r="G1437" s="128">
        <v>0</v>
      </c>
      <c r="H1437" s="128">
        <v>0</v>
      </c>
      <c r="I1437" s="145" t="s">
        <v>1985</v>
      </c>
      <c r="J1437" s="128">
        <v>0</v>
      </c>
      <c r="K1437" s="133">
        <v>46997</v>
      </c>
    </row>
    <row r="1438" spans="1:11" ht="31.5" customHeight="1" x14ac:dyDescent="0.25">
      <c r="A1438" s="141" t="s">
        <v>733</v>
      </c>
      <c r="B1438" s="169"/>
      <c r="C1438" s="151" t="s">
        <v>2048</v>
      </c>
      <c r="D1438" s="151" t="s">
        <v>103</v>
      </c>
      <c r="E1438" s="152" t="s">
        <v>1976</v>
      </c>
      <c r="F1438" s="153" t="s">
        <v>1990</v>
      </c>
      <c r="G1438" s="128">
        <v>0</v>
      </c>
      <c r="H1438" s="128">
        <v>0</v>
      </c>
      <c r="I1438" s="153" t="s">
        <v>1990</v>
      </c>
      <c r="J1438" s="128">
        <v>0</v>
      </c>
      <c r="K1438" s="154">
        <v>46844</v>
      </c>
    </row>
    <row r="1439" spans="1:11" ht="19.5" customHeight="1" x14ac:dyDescent="0.25">
      <c r="A1439" s="170" t="s">
        <v>21</v>
      </c>
      <c r="B1439" s="170"/>
      <c r="C1439" s="170"/>
      <c r="D1439" s="170"/>
      <c r="E1439" s="170"/>
      <c r="F1439" s="155">
        <v>10209</v>
      </c>
      <c r="G1439" s="128">
        <v>0</v>
      </c>
      <c r="H1439" s="128">
        <v>0</v>
      </c>
      <c r="I1439" s="155">
        <v>10209</v>
      </c>
      <c r="J1439" s="128">
        <v>0</v>
      </c>
      <c r="K1439" s="100"/>
    </row>
  </sheetData>
  <mergeCells count="400">
    <mergeCell ref="A11:C11"/>
    <mergeCell ref="A8:C8"/>
    <mergeCell ref="C3:D3"/>
    <mergeCell ref="D4:D5"/>
    <mergeCell ref="A2:K2"/>
    <mergeCell ref="C4:C5"/>
    <mergeCell ref="E3:E5"/>
    <mergeCell ref="F3:F5"/>
    <mergeCell ref="G3:J3"/>
    <mergeCell ref="H4:I4"/>
    <mergeCell ref="G4:G5"/>
    <mergeCell ref="J4:J5"/>
    <mergeCell ref="K3:K5"/>
    <mergeCell ref="A3:A5"/>
    <mergeCell ref="B3:B5"/>
    <mergeCell ref="A96:C96"/>
    <mergeCell ref="A99:C99"/>
    <mergeCell ref="A103:C103"/>
    <mergeCell ref="B1356:B1358"/>
    <mergeCell ref="A1359:E1359"/>
    <mergeCell ref="A117:C117"/>
    <mergeCell ref="A121:C121"/>
    <mergeCell ref="A127:C127"/>
    <mergeCell ref="A129:C129"/>
    <mergeCell ref="A135:C135"/>
    <mergeCell ref="A105:C105"/>
    <mergeCell ref="A107:C107"/>
    <mergeCell ref="A109:C109"/>
    <mergeCell ref="A114:C114"/>
    <mergeCell ref="A252:C252"/>
    <mergeCell ref="A165:C165"/>
    <mergeCell ref="A168:C168"/>
    <mergeCell ref="A176:C176"/>
    <mergeCell ref="A179:C179"/>
    <mergeCell ref="A199:C199"/>
    <mergeCell ref="A140:C140"/>
    <mergeCell ref="A143:C143"/>
    <mergeCell ref="A147:C147"/>
    <mergeCell ref="A154:C154"/>
    <mergeCell ref="A160:C160"/>
    <mergeCell ref="B136:B139"/>
    <mergeCell ref="B141:B142"/>
    <mergeCell ref="B144:B146"/>
    <mergeCell ref="B148:B153"/>
    <mergeCell ref="B155:B159"/>
    <mergeCell ref="B161:B164"/>
    <mergeCell ref="B166:B167"/>
    <mergeCell ref="B169:B175"/>
    <mergeCell ref="B177:B178"/>
    <mergeCell ref="B180:B198"/>
    <mergeCell ref="A209:C209"/>
    <mergeCell ref="A708:C708"/>
    <mergeCell ref="A560:C560"/>
    <mergeCell ref="A580:C580"/>
    <mergeCell ref="A597:C597"/>
    <mergeCell ref="A615:C615"/>
    <mergeCell ref="A622:C622"/>
    <mergeCell ref="B561:B579"/>
    <mergeCell ref="B581:B596"/>
    <mergeCell ref="B598:B614"/>
    <mergeCell ref="B616:B621"/>
    <mergeCell ref="B623:B634"/>
    <mergeCell ref="B636:B652"/>
    <mergeCell ref="B654:B655"/>
    <mergeCell ref="B657:B680"/>
    <mergeCell ref="B682:B707"/>
    <mergeCell ref="A217:C217"/>
    <mergeCell ref="A226:C226"/>
    <mergeCell ref="A231:C231"/>
    <mergeCell ref="B410:B418"/>
    <mergeCell ref="B420:B422"/>
    <mergeCell ref="B424:B425"/>
    <mergeCell ref="B97:B98"/>
    <mergeCell ref="B100:B102"/>
    <mergeCell ref="B110:B111"/>
    <mergeCell ref="B115:B116"/>
    <mergeCell ref="B118:B120"/>
    <mergeCell ref="B130:B134"/>
    <mergeCell ref="A635:C635"/>
    <mergeCell ref="A653:C653"/>
    <mergeCell ref="A656:C656"/>
    <mergeCell ref="B200:B208"/>
    <mergeCell ref="B210:B216"/>
    <mergeCell ref="B218:B225"/>
    <mergeCell ref="B227:B230"/>
    <mergeCell ref="B232:B251"/>
    <mergeCell ref="A447:C447"/>
    <mergeCell ref="A312:C312"/>
    <mergeCell ref="A328:C328"/>
    <mergeCell ref="A380:C380"/>
    <mergeCell ref="A407:C407"/>
    <mergeCell ref="A409:C409"/>
    <mergeCell ref="B313:B327"/>
    <mergeCell ref="B329:B379"/>
    <mergeCell ref="B381:B406"/>
    <mergeCell ref="A112:C112"/>
    <mergeCell ref="B12:B23"/>
    <mergeCell ref="B25:B48"/>
    <mergeCell ref="B50:B68"/>
    <mergeCell ref="B70:B73"/>
    <mergeCell ref="B75:B78"/>
    <mergeCell ref="B80:B81"/>
    <mergeCell ref="B83:B85"/>
    <mergeCell ref="B87:B89"/>
    <mergeCell ref="B91:B95"/>
    <mergeCell ref="A24:C24"/>
    <mergeCell ref="A49:C49"/>
    <mergeCell ref="A69:C69"/>
    <mergeCell ref="A74:C74"/>
    <mergeCell ref="A79:C79"/>
    <mergeCell ref="A82:C82"/>
    <mergeCell ref="A86:C86"/>
    <mergeCell ref="A90:C90"/>
    <mergeCell ref="B427:B431"/>
    <mergeCell ref="B433:B446"/>
    <mergeCell ref="B253:B263"/>
    <mergeCell ref="B267:B274"/>
    <mergeCell ref="B276:B278"/>
    <mergeCell ref="B280:B294"/>
    <mergeCell ref="B296:B311"/>
    <mergeCell ref="A419:C419"/>
    <mergeCell ref="A423:C423"/>
    <mergeCell ref="A426:C426"/>
    <mergeCell ref="A432:C432"/>
    <mergeCell ref="A264:C264"/>
    <mergeCell ref="A266:C266"/>
    <mergeCell ref="A275:C275"/>
    <mergeCell ref="A279:C279"/>
    <mergeCell ref="A295:C295"/>
    <mergeCell ref="B448:B470"/>
    <mergeCell ref="B472:B512"/>
    <mergeCell ref="B514:B531"/>
    <mergeCell ref="B535:B541"/>
    <mergeCell ref="B543:B559"/>
    <mergeCell ref="A681:E681"/>
    <mergeCell ref="A471:C471"/>
    <mergeCell ref="A513:C513"/>
    <mergeCell ref="A532:C532"/>
    <mergeCell ref="A534:C534"/>
    <mergeCell ref="A542:C542"/>
    <mergeCell ref="B709:B728"/>
    <mergeCell ref="A729:C729"/>
    <mergeCell ref="A1403:D1403"/>
    <mergeCell ref="B730:B731"/>
    <mergeCell ref="A732:D732"/>
    <mergeCell ref="A734:D734"/>
    <mergeCell ref="A736:D736"/>
    <mergeCell ref="A738:D738"/>
    <mergeCell ref="A740:D740"/>
    <mergeCell ref="A742:D742"/>
    <mergeCell ref="A744:D744"/>
    <mergeCell ref="A746:D746"/>
    <mergeCell ref="B747:B748"/>
    <mergeCell ref="A749:D749"/>
    <mergeCell ref="B750:B752"/>
    <mergeCell ref="A753:D753"/>
    <mergeCell ref="B754:B756"/>
    <mergeCell ref="A757:D757"/>
    <mergeCell ref="B758:B759"/>
    <mergeCell ref="B1375:B1388"/>
    <mergeCell ref="A1389:E1389"/>
    <mergeCell ref="B1390:B1391"/>
    <mergeCell ref="A1392:D1392"/>
    <mergeCell ref="B1393:B1395"/>
    <mergeCell ref="A1355:E1355"/>
    <mergeCell ref="B1360:B1373"/>
    <mergeCell ref="A760:D760"/>
    <mergeCell ref="A762:D762"/>
    <mergeCell ref="B763:B764"/>
    <mergeCell ref="A765:D765"/>
    <mergeCell ref="A767:D767"/>
    <mergeCell ref="B768:B769"/>
    <mergeCell ref="A770:D770"/>
    <mergeCell ref="A772:D772"/>
    <mergeCell ref="B773:B775"/>
    <mergeCell ref="A776:D776"/>
    <mergeCell ref="A778:D778"/>
    <mergeCell ref="B779:B780"/>
    <mergeCell ref="A781:D781"/>
    <mergeCell ref="B782:B783"/>
    <mergeCell ref="A784:D784"/>
    <mergeCell ref="B785:B787"/>
    <mergeCell ref="A788:D788"/>
    <mergeCell ref="A790:D790"/>
    <mergeCell ref="A792:D792"/>
    <mergeCell ref="B793:B794"/>
    <mergeCell ref="A795:D795"/>
    <mergeCell ref="B796:B798"/>
    <mergeCell ref="A799:D799"/>
    <mergeCell ref="A801:D801"/>
    <mergeCell ref="B802:B803"/>
    <mergeCell ref="A804:D804"/>
    <mergeCell ref="A806:D806"/>
    <mergeCell ref="A808:D808"/>
    <mergeCell ref="A810:D810"/>
    <mergeCell ref="A812:D812"/>
    <mergeCell ref="A814:D814"/>
    <mergeCell ref="A816:D816"/>
    <mergeCell ref="A818:D818"/>
    <mergeCell ref="A820:D820"/>
    <mergeCell ref="A822:D822"/>
    <mergeCell ref="A824:D824"/>
    <mergeCell ref="B825:B826"/>
    <mergeCell ref="A827:D827"/>
    <mergeCell ref="A829:D829"/>
    <mergeCell ref="A831:D831"/>
    <mergeCell ref="A833:D833"/>
    <mergeCell ref="B834:B835"/>
    <mergeCell ref="A836:D836"/>
    <mergeCell ref="A838:D838"/>
    <mergeCell ref="A840:D840"/>
    <mergeCell ref="A842:D842"/>
    <mergeCell ref="A844:D844"/>
    <mergeCell ref="B845:B847"/>
    <mergeCell ref="A848:D848"/>
    <mergeCell ref="B849:B851"/>
    <mergeCell ref="A852:D852"/>
    <mergeCell ref="A854:D854"/>
    <mergeCell ref="A856:D856"/>
    <mergeCell ref="A858:D858"/>
    <mergeCell ref="A860:D860"/>
    <mergeCell ref="B861:B862"/>
    <mergeCell ref="A863:D863"/>
    <mergeCell ref="A865:D865"/>
    <mergeCell ref="A867:D867"/>
    <mergeCell ref="B868:B869"/>
    <mergeCell ref="A870:D870"/>
    <mergeCell ref="B871:B873"/>
    <mergeCell ref="A874:D874"/>
    <mergeCell ref="B875:B883"/>
    <mergeCell ref="A884:D884"/>
    <mergeCell ref="B885:B887"/>
    <mergeCell ref="A888:D888"/>
    <mergeCell ref="B889:B891"/>
    <mergeCell ref="A892:D892"/>
    <mergeCell ref="B893:B899"/>
    <mergeCell ref="B901:B906"/>
    <mergeCell ref="A907:C907"/>
    <mergeCell ref="A909:C909"/>
    <mergeCell ref="A911:C911"/>
    <mergeCell ref="B912:B917"/>
    <mergeCell ref="A918:C918"/>
    <mergeCell ref="A920:C920"/>
    <mergeCell ref="A922:C922"/>
    <mergeCell ref="B923:B927"/>
    <mergeCell ref="A928:C928"/>
    <mergeCell ref="A930:C930"/>
    <mergeCell ref="B931:B936"/>
    <mergeCell ref="A937:C937"/>
    <mergeCell ref="A939:C939"/>
    <mergeCell ref="A941:C941"/>
    <mergeCell ref="B942:B946"/>
    <mergeCell ref="A947:C947"/>
    <mergeCell ref="A949:C949"/>
    <mergeCell ref="B950:B956"/>
    <mergeCell ref="A957:C957"/>
    <mergeCell ref="A959:C959"/>
    <mergeCell ref="A961:C961"/>
    <mergeCell ref="B962:B966"/>
    <mergeCell ref="A967:C967"/>
    <mergeCell ref="B968:B969"/>
    <mergeCell ref="A970:C970"/>
    <mergeCell ref="A972:C972"/>
    <mergeCell ref="B973:B974"/>
    <mergeCell ref="A975:C975"/>
    <mergeCell ref="A977:C977"/>
    <mergeCell ref="B978:B983"/>
    <mergeCell ref="A984:C984"/>
    <mergeCell ref="B985:B989"/>
    <mergeCell ref="A990:C990"/>
    <mergeCell ref="B991:B992"/>
    <mergeCell ref="A993:C993"/>
    <mergeCell ref="B994:B995"/>
    <mergeCell ref="A996:C996"/>
    <mergeCell ref="B997:B1004"/>
    <mergeCell ref="A1005:C1005"/>
    <mergeCell ref="A1007:C1007"/>
    <mergeCell ref="B1008:B1017"/>
    <mergeCell ref="A1018:C1018"/>
    <mergeCell ref="B1019:B1022"/>
    <mergeCell ref="A1023:C1023"/>
    <mergeCell ref="A1025:C1025"/>
    <mergeCell ref="B1026:B1031"/>
    <mergeCell ref="A1032:C1032"/>
    <mergeCell ref="A1034:C1034"/>
    <mergeCell ref="A1036:C1036"/>
    <mergeCell ref="B1037:B1045"/>
    <mergeCell ref="A1046:C1046"/>
    <mergeCell ref="A1048:C1048"/>
    <mergeCell ref="A1050:C1050"/>
    <mergeCell ref="B1051:B1052"/>
    <mergeCell ref="A1053:C1053"/>
    <mergeCell ref="A1055:C1055"/>
    <mergeCell ref="B1056:B1062"/>
    <mergeCell ref="A1063:C1063"/>
    <mergeCell ref="B1064:B1065"/>
    <mergeCell ref="A1066:C1066"/>
    <mergeCell ref="A1068:C1068"/>
    <mergeCell ref="B1069:B1075"/>
    <mergeCell ref="A1076:C1076"/>
    <mergeCell ref="B1077:B1078"/>
    <mergeCell ref="A1079:C1079"/>
    <mergeCell ref="A1081:C1081"/>
    <mergeCell ref="B1082:B1094"/>
    <mergeCell ref="A1095:C1095"/>
    <mergeCell ref="A1097:C1097"/>
    <mergeCell ref="B1098:B1099"/>
    <mergeCell ref="A1100:C1100"/>
    <mergeCell ref="B1101:B1106"/>
    <mergeCell ref="A1107:C1107"/>
    <mergeCell ref="A1109:C1109"/>
    <mergeCell ref="B1110:B1116"/>
    <mergeCell ref="A1117:C1117"/>
    <mergeCell ref="B1118:B1119"/>
    <mergeCell ref="A1120:C1120"/>
    <mergeCell ref="A1122:C1122"/>
    <mergeCell ref="B1123:B1127"/>
    <mergeCell ref="A1128:C1128"/>
    <mergeCell ref="B1129:B1138"/>
    <mergeCell ref="A1139:C1139"/>
    <mergeCell ref="A1141:C1141"/>
    <mergeCell ref="B1142:B1147"/>
    <mergeCell ref="A1148:C1148"/>
    <mergeCell ref="A1150:C1150"/>
    <mergeCell ref="A1152:C1152"/>
    <mergeCell ref="B1153:B1160"/>
    <mergeCell ref="A1161:C1161"/>
    <mergeCell ref="A1163:C1163"/>
    <mergeCell ref="A1165:C1165"/>
    <mergeCell ref="B1166:B1172"/>
    <mergeCell ref="A1173:C1173"/>
    <mergeCell ref="B1174:B1175"/>
    <mergeCell ref="A1176:C1176"/>
    <mergeCell ref="A1178:C1178"/>
    <mergeCell ref="B1179:B1188"/>
    <mergeCell ref="A1189:C1189"/>
    <mergeCell ref="B1190:B1193"/>
    <mergeCell ref="A1194:C1194"/>
    <mergeCell ref="B1195:B1199"/>
    <mergeCell ref="A1200:C1200"/>
    <mergeCell ref="A1202:C1202"/>
    <mergeCell ref="B1203:B1208"/>
    <mergeCell ref="A1209:C1209"/>
    <mergeCell ref="B1210:B1214"/>
    <mergeCell ref="A1215:C1215"/>
    <mergeCell ref="B1216:B1222"/>
    <mergeCell ref="A1223:C1223"/>
    <mergeCell ref="A1225:C1225"/>
    <mergeCell ref="B1226:B1233"/>
    <mergeCell ref="A1234:C1234"/>
    <mergeCell ref="B1235:B1242"/>
    <mergeCell ref="A1243:C1243"/>
    <mergeCell ref="B1244:B1245"/>
    <mergeCell ref="A1246:C1246"/>
    <mergeCell ref="B1247:B1252"/>
    <mergeCell ref="A1253:C1253"/>
    <mergeCell ref="B1254:B1255"/>
    <mergeCell ref="A1256:C1256"/>
    <mergeCell ref="B1257:B1267"/>
    <mergeCell ref="A1268:C1268"/>
    <mergeCell ref="B1269:B1278"/>
    <mergeCell ref="A1279:C1279"/>
    <mergeCell ref="B1280:B1281"/>
    <mergeCell ref="A1282:C1282"/>
    <mergeCell ref="B1283:B1284"/>
    <mergeCell ref="A1285:C1285"/>
    <mergeCell ref="B1286:B1292"/>
    <mergeCell ref="A1293:C1293"/>
    <mergeCell ref="A1421:E1421"/>
    <mergeCell ref="B1422:B1438"/>
    <mergeCell ref="A1439:E1439"/>
    <mergeCell ref="A1396:D1396"/>
    <mergeCell ref="B1397:B1399"/>
    <mergeCell ref="A1400:D1400"/>
    <mergeCell ref="B1401:B1402"/>
    <mergeCell ref="A1295:C1295"/>
    <mergeCell ref="B1296:B1304"/>
    <mergeCell ref="A1305:C1305"/>
    <mergeCell ref="B1306:B1308"/>
    <mergeCell ref="A1309:C1309"/>
    <mergeCell ref="B1336:B1338"/>
    <mergeCell ref="A1339:C1339"/>
    <mergeCell ref="B1340:B1342"/>
    <mergeCell ref="A1343:C1343"/>
    <mergeCell ref="A1374:E1374"/>
    <mergeCell ref="B1404:B1420"/>
    <mergeCell ref="B1344:B1345"/>
    <mergeCell ref="A1346:E1346"/>
    <mergeCell ref="B1347:B1350"/>
    <mergeCell ref="A1351:E1351"/>
    <mergeCell ref="B1352:B1354"/>
    <mergeCell ref="A1311:C1311"/>
    <mergeCell ref="B1312:B1318"/>
    <mergeCell ref="A1319:C1319"/>
    <mergeCell ref="B1320:B1325"/>
    <mergeCell ref="A1326:C1326"/>
    <mergeCell ref="B1327:B1329"/>
    <mergeCell ref="A1330:C1330"/>
    <mergeCell ref="B1331:B1334"/>
    <mergeCell ref="A1335:C1335"/>
  </mergeCells>
  <phoneticPr fontId="1" type="noConversion"/>
  <printOptions horizontalCentered="1"/>
  <pageMargins left="0.23622047244094491" right="0.23622047244094491" top="0.74803149606299213" bottom="0.15748031496062992" header="0.31496062992125984" footer="0.31496062992125984"/>
  <pageSetup paperSize="9" scale="61" fitToHeight="150" orientation="landscape" r:id="rId1"/>
  <headerFooter differentFirst="1"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44-ФЗ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Белоусова Эльвира</dc:creator>
  <cp:lastModifiedBy>Швец Лилия Анатольевна</cp:lastModifiedBy>
  <cp:lastPrinted>2026-07-10T11:24:27Z</cp:lastPrinted>
  <dcterms:created xsi:type="dcterms:W3CDTF">2015-06-05T18:19:34Z</dcterms:created>
  <dcterms:modified xsi:type="dcterms:W3CDTF">2026-07-13T05:51:54Z</dcterms:modified>
</cp:coreProperties>
</file>